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Тамонова Е.А. НОВАЯ\Исполнение программ\исполнение программ за 2025\"/>
    </mc:Choice>
  </mc:AlternateContent>
  <bookViews>
    <workbookView xWindow="0" yWindow="0" windowWidth="28800" windowHeight="10815"/>
  </bookViews>
  <sheets>
    <sheet name="отчет за 2025" sheetId="4" r:id="rId1"/>
  </sheets>
  <definedNames>
    <definedName name="_xlnm._FilterDatabase" localSheetId="0" hidden="1">'отчет за 2025'!$A$4:$U$42</definedName>
  </definedNames>
  <calcPr calcId="152511"/>
</workbook>
</file>

<file path=xl/calcChain.xml><?xml version="1.0" encoding="utf-8"?>
<calcChain xmlns="http://schemas.openxmlformats.org/spreadsheetml/2006/main">
  <c r="G9" i="4" l="1"/>
  <c r="F29" i="4"/>
  <c r="G29" i="4"/>
  <c r="S10" i="4" l="1"/>
  <c r="R10" i="4"/>
  <c r="S9" i="4"/>
  <c r="R9" i="4"/>
  <c r="F9" i="4"/>
  <c r="E9" i="4"/>
  <c r="P29" i="4" l="1"/>
  <c r="S8" i="4"/>
  <c r="J16" i="4"/>
  <c r="P24" i="4"/>
  <c r="P23" i="4"/>
  <c r="R8" i="4"/>
  <c r="Q8" i="4"/>
  <c r="K17" i="4"/>
  <c r="G17" i="4" l="1"/>
  <c r="M14" i="4"/>
  <c r="I14" i="4"/>
  <c r="O29" i="4" l="1"/>
  <c r="N29" i="4"/>
  <c r="K29" i="4"/>
  <c r="J29" i="4"/>
  <c r="P39" i="4"/>
  <c r="P38" i="4"/>
  <c r="P21" i="4"/>
  <c r="P20" i="4"/>
  <c r="P9" i="4"/>
  <c r="N23" i="4"/>
  <c r="D7" i="4"/>
  <c r="D10" i="4"/>
  <c r="D9" i="4"/>
  <c r="Q19" i="4"/>
  <c r="Q15" i="4"/>
  <c r="P36" i="4"/>
  <c r="Q34" i="4"/>
  <c r="P35" i="4"/>
  <c r="N35" i="4"/>
  <c r="J35" i="4"/>
  <c r="P32" i="4"/>
  <c r="P33" i="4"/>
  <c r="Q30" i="4"/>
  <c r="R30" i="4"/>
  <c r="P31" i="4"/>
  <c r="Q28" i="4"/>
  <c r="R28" i="4"/>
  <c r="S28" i="4"/>
  <c r="O23" i="4"/>
  <c r="P16" i="4"/>
  <c r="P17" i="4"/>
  <c r="P13" i="4"/>
  <c r="P14" i="4"/>
  <c r="P12" i="4"/>
  <c r="G10" i="4"/>
  <c r="F10" i="4"/>
  <c r="D8" i="4" l="1"/>
  <c r="P37" i="4"/>
  <c r="P34" i="4"/>
  <c r="P30" i="4"/>
  <c r="P11" i="4"/>
  <c r="P19" i="4"/>
  <c r="P28" i="4"/>
  <c r="U9" i="4"/>
  <c r="P10" i="4"/>
  <c r="P8" i="4" s="1"/>
  <c r="Q11" i="4"/>
  <c r="Q40" i="4" s="1"/>
  <c r="Q6" i="4"/>
  <c r="L36" i="4" l="1"/>
  <c r="N34" i="4"/>
  <c r="H36" i="4"/>
  <c r="J34" i="4"/>
  <c r="E34" i="4"/>
  <c r="F34" i="4"/>
  <c r="G34" i="4"/>
  <c r="I34" i="4"/>
  <c r="K34" i="4"/>
  <c r="M34" i="4"/>
  <c r="O34" i="4"/>
  <c r="R34" i="4"/>
  <c r="S34" i="4"/>
  <c r="D36" i="4"/>
  <c r="U36" i="4" l="1"/>
  <c r="T36" i="4"/>
  <c r="L35" i="4"/>
  <c r="L34" i="4" s="1"/>
  <c r="L32" i="4"/>
  <c r="L33" i="4"/>
  <c r="L24" i="4"/>
  <c r="L25" i="4"/>
  <c r="L26" i="4"/>
  <c r="L27" i="4"/>
  <c r="L23" i="4"/>
  <c r="L21" i="4"/>
  <c r="L17" i="4"/>
  <c r="L18" i="4"/>
  <c r="L16" i="4"/>
  <c r="H35" i="4"/>
  <c r="H34" i="4" s="1"/>
  <c r="H32" i="4"/>
  <c r="H33" i="4"/>
  <c r="H24" i="4"/>
  <c r="H25" i="4"/>
  <c r="H26" i="4"/>
  <c r="H27" i="4"/>
  <c r="H23" i="4"/>
  <c r="H21" i="4"/>
  <c r="H18" i="4"/>
  <c r="H16" i="4"/>
  <c r="E37" i="4"/>
  <c r="F37" i="4"/>
  <c r="I37" i="4"/>
  <c r="M37" i="4"/>
  <c r="R37" i="4"/>
  <c r="S37" i="4"/>
  <c r="D38" i="4"/>
  <c r="D35" i="4"/>
  <c r="E30" i="4"/>
  <c r="F30" i="4"/>
  <c r="G30" i="4"/>
  <c r="I30" i="4"/>
  <c r="J30" i="4"/>
  <c r="M30" i="4"/>
  <c r="N30" i="4"/>
  <c r="S30" i="4"/>
  <c r="D32" i="4"/>
  <c r="D33" i="4"/>
  <c r="D31" i="4"/>
  <c r="D24" i="4"/>
  <c r="D25" i="4"/>
  <c r="D26" i="4"/>
  <c r="D27" i="4"/>
  <c r="D23" i="4"/>
  <c r="E22" i="4"/>
  <c r="F22" i="4"/>
  <c r="G22" i="4"/>
  <c r="I22" i="4"/>
  <c r="J22" i="4"/>
  <c r="K22" i="4"/>
  <c r="M22" i="4"/>
  <c r="N22" i="4"/>
  <c r="O22" i="4"/>
  <c r="R22" i="4"/>
  <c r="S22" i="4"/>
  <c r="D21" i="4"/>
  <c r="D20" i="4"/>
  <c r="U20" i="4" s="1"/>
  <c r="E19" i="4"/>
  <c r="F19" i="4"/>
  <c r="G19" i="4"/>
  <c r="I19" i="4"/>
  <c r="M19" i="4"/>
  <c r="R19" i="4"/>
  <c r="S19" i="4"/>
  <c r="D17" i="4"/>
  <c r="U17" i="4" s="1"/>
  <c r="D18" i="4"/>
  <c r="E15" i="4"/>
  <c r="F15" i="4"/>
  <c r="G15" i="4"/>
  <c r="I15" i="4"/>
  <c r="K15" i="4"/>
  <c r="M15" i="4"/>
  <c r="N15" i="4"/>
  <c r="O15" i="4"/>
  <c r="R15" i="4"/>
  <c r="S15" i="4"/>
  <c r="D16" i="4"/>
  <c r="E11" i="4"/>
  <c r="I28" i="4"/>
  <c r="J28" i="4"/>
  <c r="K28" i="4"/>
  <c r="M28" i="4"/>
  <c r="N28" i="4"/>
  <c r="O28" i="4"/>
  <c r="L29" i="4"/>
  <c r="L28" i="4" s="1"/>
  <c r="H29" i="4"/>
  <c r="D29" i="4"/>
  <c r="E28" i="4"/>
  <c r="F11" i="4"/>
  <c r="G11" i="4"/>
  <c r="I11" i="4"/>
  <c r="J11" i="4"/>
  <c r="K11" i="4"/>
  <c r="M11" i="4"/>
  <c r="N11" i="4"/>
  <c r="O11" i="4"/>
  <c r="R11" i="4"/>
  <c r="S11" i="4"/>
  <c r="T16" i="4" l="1"/>
  <c r="U16" i="4"/>
  <c r="D34" i="4"/>
  <c r="U34" i="4" s="1"/>
  <c r="U35" i="4"/>
  <c r="T35" i="4"/>
  <c r="T34" i="4" s="1"/>
  <c r="U33" i="4"/>
  <c r="T33" i="4"/>
  <c r="U32" i="4"/>
  <c r="T32" i="4"/>
  <c r="U31" i="4"/>
  <c r="T31" i="4"/>
  <c r="T38" i="4"/>
  <c r="U38" i="4"/>
  <c r="U29" i="4"/>
  <c r="T29" i="4"/>
  <c r="L22" i="4"/>
  <c r="T17" i="4"/>
  <c r="H22" i="4"/>
  <c r="L15" i="4"/>
  <c r="L14" i="4"/>
  <c r="L13" i="4"/>
  <c r="L12" i="4"/>
  <c r="H13" i="4"/>
  <c r="H14" i="4"/>
  <c r="H12" i="4"/>
  <c r="F8" i="4"/>
  <c r="I8" i="4"/>
  <c r="I40" i="4" s="1"/>
  <c r="J8" i="4"/>
  <c r="K8" i="4"/>
  <c r="M8" i="4"/>
  <c r="M40" i="4" s="1"/>
  <c r="N8" i="4"/>
  <c r="O8" i="4"/>
  <c r="L9" i="4"/>
  <c r="L10" i="4"/>
  <c r="L8" i="4" l="1"/>
  <c r="T30" i="4"/>
  <c r="H11" i="4"/>
  <c r="L11" i="4"/>
  <c r="H9" i="4"/>
  <c r="D12" i="4"/>
  <c r="D13" i="4"/>
  <c r="D14" i="4"/>
  <c r="G8" i="4"/>
  <c r="E8" i="4"/>
  <c r="E40" i="4" s="1"/>
  <c r="D11" i="4" l="1"/>
  <c r="L7" i="4"/>
  <c r="H7" i="4"/>
  <c r="J17" i="4" l="1"/>
  <c r="F6" i="4"/>
  <c r="G6" i="4"/>
  <c r="J6" i="4"/>
  <c r="K6" i="4"/>
  <c r="N6" i="4"/>
  <c r="O6" i="4"/>
  <c r="R6" i="4"/>
  <c r="S6" i="4"/>
  <c r="O39" i="4"/>
  <c r="K39" i="4"/>
  <c r="G39" i="4"/>
  <c r="O38" i="4"/>
  <c r="K38" i="4"/>
  <c r="N38" i="4"/>
  <c r="J38" i="4"/>
  <c r="N39" i="4"/>
  <c r="J39" i="4"/>
  <c r="O31" i="4"/>
  <c r="K31" i="4"/>
  <c r="G28" i="4"/>
  <c r="G37" i="4" l="1"/>
  <c r="D39" i="4"/>
  <c r="H31" i="4"/>
  <c r="H30" i="4" s="1"/>
  <c r="K30" i="4"/>
  <c r="L31" i="4"/>
  <c r="L30" i="4" s="1"/>
  <c r="O30" i="4"/>
  <c r="H39" i="4"/>
  <c r="J37" i="4"/>
  <c r="H38" i="4"/>
  <c r="H37" i="4" s="1"/>
  <c r="K37" i="4"/>
  <c r="L39" i="4"/>
  <c r="N37" i="4"/>
  <c r="L38" i="4"/>
  <c r="O37" i="4"/>
  <c r="J15" i="4"/>
  <c r="H17" i="4"/>
  <c r="H15" i="4" s="1"/>
  <c r="G40" i="4"/>
  <c r="D28" i="4"/>
  <c r="D30" i="4"/>
  <c r="U30" i="4" s="1"/>
  <c r="H28" i="4"/>
  <c r="F28" i="4"/>
  <c r="F40" i="4" s="1"/>
  <c r="T39" i="4" l="1"/>
  <c r="T37" i="4" s="1"/>
  <c r="U39" i="4"/>
  <c r="U37" i="4" s="1"/>
  <c r="L37" i="4"/>
  <c r="T28" i="4"/>
  <c r="U28" i="4"/>
  <c r="D37" i="4"/>
  <c r="O20" i="4" l="1"/>
  <c r="O19" i="4" s="1"/>
  <c r="O40" i="4" s="1"/>
  <c r="K20" i="4"/>
  <c r="K19" i="4" s="1"/>
  <c r="K40" i="4" s="1"/>
  <c r="N20" i="4"/>
  <c r="J20" i="4"/>
  <c r="H20" i="4" l="1"/>
  <c r="H19" i="4" s="1"/>
  <c r="J19" i="4"/>
  <c r="J40" i="4" s="1"/>
  <c r="N19" i="4"/>
  <c r="N40" i="4" s="1"/>
  <c r="L20" i="4"/>
  <c r="L19" i="4" s="1"/>
  <c r="R40" i="4"/>
  <c r="S40" i="4"/>
  <c r="P27" i="4" l="1"/>
  <c r="P26" i="4"/>
  <c r="P25" i="4"/>
  <c r="D22" i="4"/>
  <c r="U21" i="4"/>
  <c r="U19" i="4" s="1"/>
  <c r="D19" i="4"/>
  <c r="P18" i="4"/>
  <c r="D15" i="4"/>
  <c r="H10" i="4"/>
  <c r="H8" i="4" s="1"/>
  <c r="P7" i="4"/>
  <c r="P6" i="4" s="1"/>
  <c r="L6" i="4"/>
  <c r="L40" i="4" s="1"/>
  <c r="L42" i="4" s="1"/>
  <c r="H6" i="4"/>
  <c r="D6" i="4"/>
  <c r="U18" i="4" l="1"/>
  <c r="P15" i="4"/>
  <c r="U15" i="4" s="1"/>
  <c r="T18" i="4"/>
  <c r="P22" i="4"/>
  <c r="P40" i="4" s="1"/>
  <c r="P42" i="4" s="1"/>
  <c r="D40" i="4"/>
  <c r="D42" i="4" s="1"/>
  <c r="H40" i="4"/>
  <c r="H42" i="4" s="1"/>
  <c r="T14" i="4"/>
  <c r="T21" i="4"/>
  <c r="T10" i="4"/>
  <c r="T7" i="4"/>
  <c r="T6" i="4" s="1"/>
  <c r="T12" i="4"/>
  <c r="T27" i="4"/>
  <c r="T23" i="4"/>
  <c r="U24" i="4"/>
  <c r="T25" i="4"/>
  <c r="T26" i="4"/>
  <c r="U13" i="4"/>
  <c r="U23" i="4"/>
  <c r="U25" i="4"/>
  <c r="T20" i="4"/>
  <c r="U27" i="4"/>
  <c r="U7" i="4"/>
  <c r="U6" i="4" s="1"/>
  <c r="U10" i="4"/>
  <c r="U12" i="4"/>
  <c r="U14" i="4"/>
  <c r="T9" i="4"/>
  <c r="T13" i="4"/>
  <c r="T15" i="4"/>
  <c r="T24" i="4"/>
  <c r="U22" i="4" l="1"/>
  <c r="T11" i="4"/>
  <c r="T8" i="4" s="1"/>
  <c r="U11" i="4"/>
  <c r="T22" i="4"/>
  <c r="T19" i="4"/>
  <c r="T40" i="4" l="1"/>
  <c r="U40" i="4" l="1"/>
</calcChain>
</file>

<file path=xl/sharedStrings.xml><?xml version="1.0" encoding="utf-8"?>
<sst xmlns="http://schemas.openxmlformats.org/spreadsheetml/2006/main" count="81" uniqueCount="67">
  <si>
    <t>План 2025</t>
  </si>
  <si>
    <t>План 2026</t>
  </si>
  <si>
    <t>Всего</t>
  </si>
  <si>
    <t>ОБ</t>
  </si>
  <si>
    <t>МБ</t>
  </si>
  <si>
    <t>ВСЕГО по программе</t>
  </si>
  <si>
    <t>Отклонение</t>
  </si>
  <si>
    <t>%</t>
  </si>
  <si>
    <t>+/-</t>
  </si>
  <si>
    <t>План 2027</t>
  </si>
  <si>
    <t>Комплекс процессных мероприятий «Создание условий для реализации программ дошкольного образования» (03401)</t>
  </si>
  <si>
    <t>Организация дошкольного образования</t>
  </si>
  <si>
    <t>Повышение доступности и качества дошкольного образования</t>
  </si>
  <si>
    <t>Организация общего образования</t>
  </si>
  <si>
    <t>Повышение доступности и качества общего образования</t>
  </si>
  <si>
    <t>Выявление и поддержка одаренной и талантливой молодежи</t>
  </si>
  <si>
    <t>Патриотическое воспитание граждан Российской Федерации</t>
  </si>
  <si>
    <t>Подготовка кадров</t>
  </si>
  <si>
    <t>Обеспечены бесплатным питанием и молоком отдельные категории обучающихся общеобразовательных организаций</t>
  </si>
  <si>
    <t>Комплекс процессных мероприятий «Развитие ресурсного обеспечения образовательных организаций» (03403)</t>
  </si>
  <si>
    <t>Комплекс процессных мероприятий «Создание условий для реализации программ дополнительного образования» (03404)</t>
  </si>
  <si>
    <t>Организация дополнительного образования</t>
  </si>
  <si>
    <t>Повышение доступности и качества дополнительного образования</t>
  </si>
  <si>
    <t>Комплекс процессных мероприятий «Оказание государственной социальной поддержки педагогических работников и населения» (03405)</t>
  </si>
  <si>
    <t>Социальное обеспечение работников образовательных организаций</t>
  </si>
  <si>
    <t>Комплекс процессных мероприятий «Обеспечение деятельности органов местного самоуправления и реализация муниципальной политики в сфере образования» (03406)</t>
  </si>
  <si>
    <t>Финансовое обеспечение выполнения функций органов местного самоуправления Углегорского городского округа, оказания услуг и выполнения работ</t>
  </si>
  <si>
    <t>Обеспечение проведения государственной итоговой аттестации и работы ТПМПК</t>
  </si>
  <si>
    <t>Муниципальный проект «Предоставление жилых помещений детям-сиротам и детям, находящимся под опекой» (03101)</t>
  </si>
  <si>
    <t>Укрепление материально-технической базы дошкольных образовательных учреждений</t>
  </si>
  <si>
    <t>Укрепление материально-технической базы общеобразовательных учреждений</t>
  </si>
  <si>
    <t>Укрепление материально-технической базы учреждений дополнительного образования</t>
  </si>
  <si>
    <t>Муниципальный проект «Укрепление материально-технической базы образовательных организаций» (03103)</t>
  </si>
  <si>
    <t>Выполнены мероприятия по модернизации школьных систем образования</t>
  </si>
  <si>
    <t>Выполнены мероприятия по оснащению предметных кабинетов средствами обучения и воспитания</t>
  </si>
  <si>
    <t>ФБ</t>
  </si>
  <si>
    <t>Муниципальный проект "Реализация Федерального проекта "Педагоги и наставники" (031Ю6)</t>
  </si>
  <si>
    <t>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</si>
  <si>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Проведены мероприятия по обеспечению деятельности советников директора по воспитанию взаимодействию с детскими общественными объединениями муниципальных общеобразовательных организаций</t>
  </si>
  <si>
    <t>Обеспечены ежемесячные выплаты вознаграждения за классное руководство педагогическим работникам муниципальных общеобразовательных организаций</t>
  </si>
  <si>
    <t>62100,       62240,         У1315</t>
  </si>
  <si>
    <t>У1316                 У5101</t>
  </si>
  <si>
    <t>62230,       62100           У1317</t>
  </si>
  <si>
    <t>У1318               У5101</t>
  </si>
  <si>
    <t>350,612,    622</t>
  </si>
  <si>
    <t>У1319</t>
  </si>
  <si>
    <t>244,350,    612,622</t>
  </si>
  <si>
    <t>63010</t>
  </si>
  <si>
    <t>Комплекс процессных мероприятий «Создание условий для реализации программ общего образования» (03402)</t>
  </si>
  <si>
    <t>611,621,         313</t>
  </si>
  <si>
    <t>L3040, 63540, 71234, У1321,  S3540</t>
  </si>
  <si>
    <t>У1322</t>
  </si>
  <si>
    <t>У1323, У5101</t>
  </si>
  <si>
    <t>313, 611, 321, 360</t>
  </si>
  <si>
    <t>62600, У9000</t>
  </si>
  <si>
    <t>121,122,  129,244,    853</t>
  </si>
  <si>
    <t>62500, У9100</t>
  </si>
  <si>
    <t>Обеспечение реализации гарантий по обеспечению детей-сирот и детей, оставшихся без попечения родителей, защите их прав, в соответствии с Законом Сахалинской области от 30.07.2009 N 80-ЗО «О наделении органов местного самоуправления государственными полномочиями Сахалинской области по опеке и попечительству»</t>
  </si>
  <si>
    <t xml:space="preserve">Наименование </t>
  </si>
  <si>
    <t>Охрана семьи и детства</t>
  </si>
  <si>
    <t>62500, 71701</t>
  </si>
  <si>
    <t xml:space="preserve"> 611, 321, 360</t>
  </si>
  <si>
    <t>70501, 70601, 70901, 71230,  У5112</t>
  </si>
  <si>
    <t>63010, У1325</t>
  </si>
  <si>
    <t>Муниципальный проект «Реализация Федерального проекта «Все лучшее детям» (031Ю4)</t>
  </si>
  <si>
    <t>Кассовый расход по состоянию на 01.01.2026</t>
  </si>
  <si>
    <t>Приложение к ГОДОВОМУ ОТЧЕТУ О ХОДЕ РЕАЛИЗАЦИИ МУНИЦИПАЛЬНОЙ ПРОГРАММЫ «РАЗВИТИЕ ОБРАЗОВАНИЯ В УГЛЕГОРСКОМ МУНИЦИПАЛЬНОМ ОКРУГЕ САХАЛИНСКОЙ ОБЛАСТИ»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</si>
</sst>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\@"/>
    <numFmt numFmtId="165" formatCode="dd/mm/yyyy\ hh:mm"/>
  </numFmts>
  <fonts count="13">
    <font>
      <sz val="11"/>
      <name val="Calibri"/>
      <family val="2"/>
      <scheme val="minor"/>
    </font>
    <font>
      <b/>
      <sz val="12"/>
      <color rgb="FF000000"/>
      <name val="Times New Roman Cyr&quot;, serif"/>
    </font>
    <font>
      <b/>
      <sz val="10"/>
      <color rgb="FF000000"/>
      <name val="Arial Cyr&quot;, sans-serif"/>
    </font>
    <font>
      <b/>
      <sz val="10"/>
      <color rgb="FF000000"/>
      <name val="Arial Cyr&quot;, sans-serif"/>
    </font>
    <font>
      <sz val="10"/>
      <color rgb="FF000000"/>
      <name val="Arial Cyr"/>
    </font>
    <font>
      <sz val="10"/>
      <color rgb="FF008000"/>
      <name val="Arial Cyr"/>
    </font>
    <font>
      <b/>
      <sz val="10"/>
      <color rgb="FF000000"/>
      <name val="Arial Cyr"/>
    </font>
    <font>
      <b/>
      <sz val="10"/>
      <color rgb="FF008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1" fillId="0" borderId="1">
      <alignment horizontal="center" vertical="center" wrapText="1"/>
    </xf>
    <xf numFmtId="0" fontId="2" fillId="2" borderId="2">
      <alignment horizontal="center" vertical="center" wrapText="1"/>
    </xf>
    <xf numFmtId="0" fontId="3" fillId="2" borderId="2">
      <alignment horizontal="center" vertical="center" wrapText="1"/>
    </xf>
    <xf numFmtId="164" fontId="4" fillId="0" borderId="2">
      <alignment vertical="top" wrapText="1"/>
    </xf>
    <xf numFmtId="4" fontId="5" fillId="0" borderId="2">
      <alignment vertical="top" shrinkToFit="1"/>
    </xf>
    <xf numFmtId="0" fontId="6" fillId="3" borderId="3">
      <alignment vertical="top"/>
    </xf>
    <xf numFmtId="4" fontId="7" fillId="3" borderId="2">
      <alignment vertical="top" shrinkToFit="1"/>
    </xf>
    <xf numFmtId="0" fontId="8" fillId="0" borderId="1">
      <alignment horizontal="left" vertical="top" wrapText="1"/>
    </xf>
    <xf numFmtId="0" fontId="10" fillId="0" borderId="0"/>
    <xf numFmtId="0" fontId="10" fillId="0" borderId="0"/>
    <xf numFmtId="0" fontId="10" fillId="0" borderId="0"/>
    <xf numFmtId="0" fontId="8" fillId="0" borderId="1"/>
    <xf numFmtId="0" fontId="8" fillId="0" borderId="1"/>
    <xf numFmtId="14" fontId="4" fillId="0" borderId="2">
      <alignment vertical="top"/>
    </xf>
    <xf numFmtId="164" fontId="4" fillId="0" borderId="2">
      <alignment vertical="top"/>
    </xf>
    <xf numFmtId="4" fontId="4" fillId="0" borderId="2">
      <alignment vertical="top" shrinkToFit="1"/>
    </xf>
    <xf numFmtId="0" fontId="8" fillId="0" borderId="1">
      <alignment horizontal="center" vertical="center" wrapText="1"/>
    </xf>
    <xf numFmtId="4" fontId="9" fillId="3" borderId="2">
      <alignment vertical="top" shrinkToFit="1"/>
    </xf>
    <xf numFmtId="0" fontId="6" fillId="3" borderId="3">
      <alignment horizontal="right" vertical="top"/>
    </xf>
    <xf numFmtId="165" fontId="4" fillId="0" borderId="2">
      <alignment vertical="top"/>
    </xf>
    <xf numFmtId="43" fontId="10" fillId="0" borderId="0" applyFont="0" applyFill="0" applyBorder="0" applyAlignment="0" applyProtection="0"/>
  </cellStyleXfs>
  <cellXfs count="43">
    <xf numFmtId="0" fontId="0" fillId="0" borderId="0" xfId="0"/>
    <xf numFmtId="0" fontId="11" fillId="0" borderId="0" xfId="0" applyFont="1"/>
    <xf numFmtId="0" fontId="11" fillId="0" borderId="4" xfId="0" applyFont="1" applyBorder="1"/>
    <xf numFmtId="43" fontId="11" fillId="0" borderId="4" xfId="21" applyFont="1" applyBorder="1"/>
    <xf numFmtId="0" fontId="11" fillId="0" borderId="4" xfId="0" applyFont="1" applyBorder="1" applyAlignment="1">
      <alignment wrapText="1"/>
    </xf>
    <xf numFmtId="43" fontId="11" fillId="0" borderId="4" xfId="0" applyNumberFormat="1" applyFont="1" applyBorder="1"/>
    <xf numFmtId="49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3" fontId="11" fillId="5" borderId="4" xfId="21" applyFont="1" applyFill="1" applyBorder="1"/>
    <xf numFmtId="43" fontId="11" fillId="5" borderId="4" xfId="0" applyNumberFormat="1" applyFont="1" applyFill="1" applyBorder="1"/>
    <xf numFmtId="43" fontId="12" fillId="5" borderId="4" xfId="21" applyFont="1" applyFill="1" applyBorder="1"/>
    <xf numFmtId="43" fontId="11" fillId="6" borderId="4" xfId="21" applyFont="1" applyFill="1" applyBorder="1"/>
    <xf numFmtId="0" fontId="11" fillId="6" borderId="4" xfId="0" applyFont="1" applyFill="1" applyBorder="1" applyAlignment="1">
      <alignment wrapText="1"/>
    </xf>
    <xf numFmtId="43" fontId="12" fillId="5" borderId="4" xfId="0" applyNumberFormat="1" applyFont="1" applyFill="1" applyBorder="1" applyAlignment="1">
      <alignment horizontal="center"/>
    </xf>
    <xf numFmtId="43" fontId="12" fillId="4" borderId="4" xfId="21" applyFont="1" applyFill="1" applyBorder="1"/>
    <xf numFmtId="43" fontId="12" fillId="4" borderId="4" xfId="0" applyNumberFormat="1" applyFont="1" applyFill="1" applyBorder="1"/>
    <xf numFmtId="43" fontId="11" fillId="0" borderId="0" xfId="21" applyFont="1"/>
    <xf numFmtId="43" fontId="11" fillId="0" borderId="0" xfId="0" applyNumberFormat="1" applyFont="1"/>
    <xf numFmtId="0" fontId="11" fillId="6" borderId="4" xfId="0" applyFont="1" applyFill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0" fontId="11" fillId="0" borderId="4" xfId="0" applyFont="1" applyBorder="1" applyAlignment="1">
      <alignment horizontal="right"/>
    </xf>
    <xf numFmtId="49" fontId="11" fillId="0" borderId="4" xfId="0" applyNumberFormat="1" applyFont="1" applyBorder="1" applyAlignment="1">
      <alignment horizontal="right" wrapText="1"/>
    </xf>
    <xf numFmtId="49" fontId="11" fillId="0" borderId="4" xfId="0" applyNumberFormat="1" applyFont="1" applyBorder="1" applyAlignment="1">
      <alignment horizontal="right"/>
    </xf>
    <xf numFmtId="0" fontId="12" fillId="4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43" fontId="12" fillId="5" borderId="4" xfId="0" applyNumberFormat="1" applyFont="1" applyFill="1" applyBorder="1"/>
    <xf numFmtId="0" fontId="12" fillId="5" borderId="5" xfId="0" applyFont="1" applyFill="1" applyBorder="1" applyAlignment="1">
      <alignment horizontal="center" wrapText="1"/>
    </xf>
    <xf numFmtId="0" fontId="12" fillId="5" borderId="6" xfId="0" applyFont="1" applyFill="1" applyBorder="1" applyAlignment="1">
      <alignment horizontal="center" wrapText="1"/>
    </xf>
    <xf numFmtId="0" fontId="12" fillId="5" borderId="7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</cellXfs>
  <cellStyles count="22">
    <cellStyle name="br" xfId="11"/>
    <cellStyle name="col" xfId="10"/>
    <cellStyle name="st16" xfId="4"/>
    <cellStyle name="st17" xfId="3"/>
    <cellStyle name="st18" xfId="7"/>
    <cellStyle name="st19" xfId="5"/>
    <cellStyle name="style0" xfId="12"/>
    <cellStyle name="td" xfId="13"/>
    <cellStyle name="tr" xfId="9"/>
    <cellStyle name="xl24" xfId="2"/>
    <cellStyle name="xl25" xfId="14"/>
    <cellStyle name="xl26" xfId="15"/>
    <cellStyle name="xl27" xfId="16"/>
    <cellStyle name="xl28" xfId="1"/>
    <cellStyle name="xl29" xfId="17"/>
    <cellStyle name="xl30" xfId="8"/>
    <cellStyle name="xl31" xfId="6"/>
    <cellStyle name="xl32" xfId="18"/>
    <cellStyle name="xl33" xfId="19"/>
    <cellStyle name="xl35" xfId="20"/>
    <cellStyle name="Обычный" xfId="0" builtinId="0"/>
    <cellStyle name="Финансовый" xfId="21" builtin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2"/>
  <sheetViews>
    <sheetView tabSelected="1" zoomScale="64" zoomScaleNormal="64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A13" sqref="AA13"/>
    </sheetView>
  </sheetViews>
  <sheetFormatPr defaultRowHeight="15"/>
  <cols>
    <col min="1" max="1" width="58" style="1" bestFit="1" customWidth="1"/>
    <col min="2" max="2" width="9.28515625" style="1" bestFit="1" customWidth="1"/>
    <col min="3" max="3" width="9.28515625" style="1" customWidth="1"/>
    <col min="4" max="5" width="21.140625" style="1" customWidth="1"/>
    <col min="6" max="6" width="20.42578125" style="1" bestFit="1" customWidth="1"/>
    <col min="7" max="7" width="19.140625" style="1" customWidth="1"/>
    <col min="8" max="8" width="20.42578125" style="1" hidden="1" customWidth="1"/>
    <col min="9" max="9" width="19.28515625" style="1" hidden="1" customWidth="1"/>
    <col min="10" max="10" width="20.42578125" style="1" hidden="1" customWidth="1"/>
    <col min="11" max="11" width="18.42578125" style="1" hidden="1" customWidth="1"/>
    <col min="12" max="12" width="20.42578125" style="1" hidden="1" customWidth="1"/>
    <col min="13" max="13" width="19.28515625" style="1" hidden="1" customWidth="1"/>
    <col min="14" max="14" width="20.42578125" style="1" hidden="1" customWidth="1"/>
    <col min="15" max="15" width="18.85546875" style="1" hidden="1" customWidth="1"/>
    <col min="16" max="16" width="20.42578125" style="1" bestFit="1" customWidth="1"/>
    <col min="17" max="17" width="18.28515625" style="1" customWidth="1"/>
    <col min="18" max="18" width="20" style="1" customWidth="1"/>
    <col min="19" max="19" width="19.5703125" style="1" customWidth="1"/>
    <col min="20" max="20" width="19.7109375" style="1" customWidth="1"/>
    <col min="21" max="21" width="18.5703125" style="1" bestFit="1" customWidth="1"/>
    <col min="22" max="16384" width="9.140625" style="1"/>
  </cols>
  <sheetData>
    <row r="2" spans="1:21">
      <c r="A2" s="42" t="s">
        <v>66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4" spans="1:21">
      <c r="A4" s="36" t="s">
        <v>58</v>
      </c>
      <c r="B4" s="37"/>
      <c r="C4" s="38"/>
      <c r="D4" s="32" t="s">
        <v>0</v>
      </c>
      <c r="E4" s="32"/>
      <c r="F4" s="32"/>
      <c r="G4" s="32"/>
      <c r="H4" s="32" t="s">
        <v>1</v>
      </c>
      <c r="I4" s="32"/>
      <c r="J4" s="32"/>
      <c r="K4" s="32"/>
      <c r="L4" s="32" t="s">
        <v>9</v>
      </c>
      <c r="M4" s="32"/>
      <c r="N4" s="32"/>
      <c r="O4" s="32"/>
      <c r="P4" s="33" t="s">
        <v>65</v>
      </c>
      <c r="Q4" s="34"/>
      <c r="R4" s="34"/>
      <c r="S4" s="35"/>
      <c r="T4" s="30" t="s">
        <v>6</v>
      </c>
      <c r="U4" s="31"/>
    </row>
    <row r="5" spans="1:21">
      <c r="A5" s="39"/>
      <c r="B5" s="40"/>
      <c r="C5" s="41"/>
      <c r="D5" s="23" t="s">
        <v>2</v>
      </c>
      <c r="E5" s="23" t="s">
        <v>35</v>
      </c>
      <c r="F5" s="23" t="s">
        <v>3</v>
      </c>
      <c r="G5" s="23" t="s">
        <v>4</v>
      </c>
      <c r="H5" s="23" t="s">
        <v>2</v>
      </c>
      <c r="I5" s="23" t="s">
        <v>35</v>
      </c>
      <c r="J5" s="23" t="s">
        <v>3</v>
      </c>
      <c r="K5" s="23" t="s">
        <v>4</v>
      </c>
      <c r="L5" s="23" t="s">
        <v>2</v>
      </c>
      <c r="M5" s="23" t="s">
        <v>35</v>
      </c>
      <c r="N5" s="23" t="s">
        <v>3</v>
      </c>
      <c r="O5" s="23" t="s">
        <v>4</v>
      </c>
      <c r="P5" s="23" t="s">
        <v>2</v>
      </c>
      <c r="Q5" s="24" t="s">
        <v>35</v>
      </c>
      <c r="R5" s="23" t="s">
        <v>3</v>
      </c>
      <c r="S5" s="23" t="s">
        <v>4</v>
      </c>
      <c r="T5" s="6" t="s">
        <v>8</v>
      </c>
      <c r="U5" s="7" t="s">
        <v>7</v>
      </c>
    </row>
    <row r="6" spans="1:21" ht="30" customHeight="1">
      <c r="A6" s="27" t="s">
        <v>28</v>
      </c>
      <c r="B6" s="28"/>
      <c r="C6" s="29"/>
      <c r="D6" s="13">
        <f>D7</f>
        <v>21664000</v>
      </c>
      <c r="E6" s="13"/>
      <c r="F6" s="13">
        <f t="shared" ref="F6:U6" si="0">F7</f>
        <v>21664000</v>
      </c>
      <c r="G6" s="13">
        <f t="shared" si="0"/>
        <v>0</v>
      </c>
      <c r="H6" s="13">
        <f t="shared" si="0"/>
        <v>10000000</v>
      </c>
      <c r="I6" s="13"/>
      <c r="J6" s="13">
        <f t="shared" si="0"/>
        <v>10000000</v>
      </c>
      <c r="K6" s="13">
        <f t="shared" si="0"/>
        <v>0</v>
      </c>
      <c r="L6" s="13">
        <f t="shared" si="0"/>
        <v>5000000</v>
      </c>
      <c r="M6" s="13"/>
      <c r="N6" s="13">
        <f t="shared" si="0"/>
        <v>5000000</v>
      </c>
      <c r="O6" s="13">
        <f t="shared" si="0"/>
        <v>0</v>
      </c>
      <c r="P6" s="13">
        <f>P7</f>
        <v>21663200</v>
      </c>
      <c r="Q6" s="13">
        <f t="shared" si="0"/>
        <v>0</v>
      </c>
      <c r="R6" s="13">
        <f t="shared" si="0"/>
        <v>21663200</v>
      </c>
      <c r="S6" s="13">
        <f t="shared" si="0"/>
        <v>0</v>
      </c>
      <c r="T6" s="13">
        <f t="shared" si="0"/>
        <v>800</v>
      </c>
      <c r="U6" s="13">
        <f t="shared" si="0"/>
        <v>99.99630723781388</v>
      </c>
    </row>
    <row r="7" spans="1:21" ht="90">
      <c r="A7" s="4" t="s">
        <v>57</v>
      </c>
      <c r="B7" s="2">
        <v>71701</v>
      </c>
      <c r="C7" s="2">
        <v>412</v>
      </c>
      <c r="D7" s="10">
        <f>F7+G7+E7</f>
        <v>21664000</v>
      </c>
      <c r="E7" s="3"/>
      <c r="F7" s="3">
        <v>21664000</v>
      </c>
      <c r="G7" s="3"/>
      <c r="H7" s="10">
        <f>J7+K7+I7</f>
        <v>10000000</v>
      </c>
      <c r="I7" s="3"/>
      <c r="J7" s="3">
        <v>10000000</v>
      </c>
      <c r="K7" s="3"/>
      <c r="L7" s="10">
        <f>N7+O7+M7</f>
        <v>5000000</v>
      </c>
      <c r="M7" s="3"/>
      <c r="N7" s="3">
        <v>5000000</v>
      </c>
      <c r="O7" s="3"/>
      <c r="P7" s="8">
        <f>R7+S7</f>
        <v>21663200</v>
      </c>
      <c r="Q7" s="3"/>
      <c r="R7" s="3">
        <v>21663200</v>
      </c>
      <c r="S7" s="3"/>
      <c r="T7" s="5">
        <f t="shared" ref="T7:T29" si="1">D7-P7</f>
        <v>800</v>
      </c>
      <c r="U7" s="5">
        <f t="shared" ref="U7:U40" si="2">P7/D7*100</f>
        <v>99.99630723781388</v>
      </c>
    </row>
    <row r="8" spans="1:21" ht="45" customHeight="1">
      <c r="A8" s="27" t="s">
        <v>64</v>
      </c>
      <c r="B8" s="28"/>
      <c r="C8" s="29"/>
      <c r="D8" s="10">
        <f>D9+D10</f>
        <v>51189500</v>
      </c>
      <c r="E8" s="10">
        <f t="shared" ref="E8:O8" si="3">E9+E10</f>
        <v>9876060.4800000004</v>
      </c>
      <c r="F8" s="10">
        <f t="shared" si="3"/>
        <v>40801248.380000003</v>
      </c>
      <c r="G8" s="10">
        <f t="shared" si="3"/>
        <v>512191.14</v>
      </c>
      <c r="H8" s="10">
        <f t="shared" si="3"/>
        <v>15774500</v>
      </c>
      <c r="I8" s="10">
        <f t="shared" si="3"/>
        <v>3435600</v>
      </c>
      <c r="J8" s="10">
        <f t="shared" si="3"/>
        <v>12181100</v>
      </c>
      <c r="K8" s="10">
        <f t="shared" si="3"/>
        <v>157800</v>
      </c>
      <c r="L8" s="10">
        <f t="shared" si="3"/>
        <v>135979400</v>
      </c>
      <c r="M8" s="10">
        <f t="shared" si="3"/>
        <v>29616300</v>
      </c>
      <c r="N8" s="10">
        <f t="shared" si="3"/>
        <v>105003300</v>
      </c>
      <c r="O8" s="10">
        <f t="shared" si="3"/>
        <v>1359800</v>
      </c>
      <c r="P8" s="10">
        <f>P9+P10</f>
        <v>47582648.309999995</v>
      </c>
      <c r="Q8" s="10">
        <f>Q9+Q10</f>
        <v>9695459.1500000004</v>
      </c>
      <c r="R8" s="10">
        <f>R9+R10</f>
        <v>37411334.619999997</v>
      </c>
      <c r="S8" s="10">
        <f>S9+S10</f>
        <v>475854.54</v>
      </c>
      <c r="T8" s="10">
        <f t="shared" ref="T8" si="4">T9+T10+T11+T12</f>
        <v>3606851.6900000041</v>
      </c>
      <c r="U8" s="26"/>
    </row>
    <row r="9" spans="1:21" ht="30">
      <c r="A9" s="4" t="s">
        <v>33</v>
      </c>
      <c r="B9" s="2">
        <v>57500</v>
      </c>
      <c r="C9" s="2">
        <v>243.61199999999999</v>
      </c>
      <c r="D9" s="10">
        <f>F9+G9+E9</f>
        <v>49070900</v>
      </c>
      <c r="E9" s="3">
        <f>9850260.48</f>
        <v>9850260.4800000004</v>
      </c>
      <c r="F9" s="3">
        <f>34923648.38+3806000</f>
        <v>38729648.380000003</v>
      </c>
      <c r="G9" s="3">
        <f>452491.14+27800+10700</f>
        <v>490991.14</v>
      </c>
      <c r="H9" s="10">
        <f>J9+K9+I9</f>
        <v>15774500</v>
      </c>
      <c r="I9" s="3">
        <v>3435600</v>
      </c>
      <c r="J9" s="3">
        <v>12181100</v>
      </c>
      <c r="K9" s="3">
        <v>157800</v>
      </c>
      <c r="L9" s="10">
        <f>M9+N9+O9</f>
        <v>135979400</v>
      </c>
      <c r="M9" s="3">
        <v>29616300</v>
      </c>
      <c r="N9" s="3">
        <v>105003300</v>
      </c>
      <c r="O9" s="3">
        <v>1359800</v>
      </c>
      <c r="P9" s="8">
        <f>R9+S9+Q9</f>
        <v>45464062.449999996</v>
      </c>
      <c r="Q9" s="3">
        <v>9669659.1500000004</v>
      </c>
      <c r="R9" s="3">
        <f>34283334.62+1056400</f>
        <v>35339734.619999997</v>
      </c>
      <c r="S9" s="3">
        <f>443968.68+10700</f>
        <v>454668.68</v>
      </c>
      <c r="T9" s="5">
        <f t="shared" si="1"/>
        <v>3606837.5500000045</v>
      </c>
      <c r="U9" s="5">
        <f>P9/D9*100</f>
        <v>92.649742413528173</v>
      </c>
    </row>
    <row r="10" spans="1:21" ht="30">
      <c r="A10" s="4" t="s">
        <v>34</v>
      </c>
      <c r="B10" s="2">
        <v>55590</v>
      </c>
      <c r="C10" s="2">
        <v>612</v>
      </c>
      <c r="D10" s="10">
        <f>F10+G10+E10</f>
        <v>2118600</v>
      </c>
      <c r="E10" s="3">
        <v>25800</v>
      </c>
      <c r="F10" s="3">
        <f>91600+1980000</f>
        <v>2071600</v>
      </c>
      <c r="G10" s="3">
        <f>1200+20000</f>
        <v>21200</v>
      </c>
      <c r="H10" s="10">
        <f t="shared" ref="H10" si="5">J10+K10</f>
        <v>0</v>
      </c>
      <c r="I10" s="3"/>
      <c r="J10" s="3"/>
      <c r="K10" s="3"/>
      <c r="L10" s="10">
        <f>N10+O97+M10</f>
        <v>0</v>
      </c>
      <c r="M10" s="3"/>
      <c r="N10" s="3"/>
      <c r="O10" s="3"/>
      <c r="P10" s="8">
        <f>R10+S10+Q10</f>
        <v>2118585.8600000003</v>
      </c>
      <c r="Q10" s="3">
        <v>25800</v>
      </c>
      <c r="R10" s="3">
        <f>91600+1980000</f>
        <v>2071600</v>
      </c>
      <c r="S10" s="3">
        <f>1185.86+20000</f>
        <v>21185.86</v>
      </c>
      <c r="T10" s="5">
        <f t="shared" si="1"/>
        <v>14.139999999664724</v>
      </c>
      <c r="U10" s="5">
        <f t="shared" si="2"/>
        <v>99.999332578117645</v>
      </c>
    </row>
    <row r="11" spans="1:21" ht="30.75" customHeight="1">
      <c r="A11" s="27" t="s">
        <v>36</v>
      </c>
      <c r="B11" s="28"/>
      <c r="C11" s="29"/>
      <c r="D11" s="10">
        <f>D12+D13+D14</f>
        <v>36158300</v>
      </c>
      <c r="E11" s="10">
        <f t="shared" ref="E11:U11" si="6">E12+E13+E14</f>
        <v>35463100</v>
      </c>
      <c r="F11" s="10">
        <f t="shared" si="6"/>
        <v>695200</v>
      </c>
      <c r="G11" s="10">
        <f t="shared" si="6"/>
        <v>0</v>
      </c>
      <c r="H11" s="10">
        <f t="shared" si="6"/>
        <v>39199400</v>
      </c>
      <c r="I11" s="10">
        <f t="shared" si="6"/>
        <v>39199400</v>
      </c>
      <c r="J11" s="10">
        <f t="shared" si="6"/>
        <v>0</v>
      </c>
      <c r="K11" s="10">
        <f t="shared" si="6"/>
        <v>0</v>
      </c>
      <c r="L11" s="10">
        <f t="shared" si="6"/>
        <v>39226700</v>
      </c>
      <c r="M11" s="10">
        <f t="shared" si="6"/>
        <v>39226700</v>
      </c>
      <c r="N11" s="10">
        <f t="shared" si="6"/>
        <v>0</v>
      </c>
      <c r="O11" s="10">
        <f t="shared" si="6"/>
        <v>0</v>
      </c>
      <c r="P11" s="10">
        <f>P12+P13+P14</f>
        <v>36158300</v>
      </c>
      <c r="Q11" s="10">
        <f t="shared" si="6"/>
        <v>35463100</v>
      </c>
      <c r="R11" s="10">
        <f t="shared" si="6"/>
        <v>695200</v>
      </c>
      <c r="S11" s="10">
        <f t="shared" si="6"/>
        <v>0</v>
      </c>
      <c r="T11" s="10">
        <f t="shared" si="6"/>
        <v>0</v>
      </c>
      <c r="U11" s="10">
        <f t="shared" si="6"/>
        <v>300</v>
      </c>
    </row>
    <row r="12" spans="1:21" ht="60">
      <c r="A12" s="4" t="s">
        <v>37</v>
      </c>
      <c r="B12" s="2">
        <v>50500</v>
      </c>
      <c r="C12" s="2">
        <v>611</v>
      </c>
      <c r="D12" s="10">
        <f t="shared" ref="D12:D14" si="7">F12+G12+E12</f>
        <v>391700</v>
      </c>
      <c r="E12" s="3">
        <v>391700</v>
      </c>
      <c r="F12" s="3"/>
      <c r="G12" s="3"/>
      <c r="H12" s="10">
        <f>J12+K12+I12</f>
        <v>582300</v>
      </c>
      <c r="I12" s="3">
        <v>582300</v>
      </c>
      <c r="J12" s="3"/>
      <c r="K12" s="3"/>
      <c r="L12" s="10">
        <f>M12+N12+O12</f>
        <v>582300</v>
      </c>
      <c r="M12" s="3">
        <v>582300</v>
      </c>
      <c r="N12" s="3"/>
      <c r="O12" s="3"/>
      <c r="P12" s="8">
        <f>R12+S12+Q12</f>
        <v>391700</v>
      </c>
      <c r="Q12" s="3">
        <v>391700</v>
      </c>
      <c r="R12" s="3"/>
      <c r="S12" s="3"/>
      <c r="T12" s="5">
        <f t="shared" si="1"/>
        <v>0</v>
      </c>
      <c r="U12" s="5">
        <f t="shared" si="2"/>
        <v>100</v>
      </c>
    </row>
    <row r="13" spans="1:21" ht="60">
      <c r="A13" s="4" t="s">
        <v>38</v>
      </c>
      <c r="B13" s="2">
        <v>51790</v>
      </c>
      <c r="C13" s="2">
        <v>611</v>
      </c>
      <c r="D13" s="10">
        <f t="shared" si="7"/>
        <v>1616600</v>
      </c>
      <c r="E13" s="3">
        <v>921400</v>
      </c>
      <c r="F13" s="3">
        <v>695200</v>
      </c>
      <c r="G13" s="3"/>
      <c r="H13" s="10">
        <f t="shared" ref="H13:H14" si="8">J13+K13+I13</f>
        <v>1510100</v>
      </c>
      <c r="I13" s="3">
        <v>1510100</v>
      </c>
      <c r="J13" s="3"/>
      <c r="K13" s="3"/>
      <c r="L13" s="10">
        <f t="shared" ref="L13:L14" si="9">M13+N13+O13</f>
        <v>1537400</v>
      </c>
      <c r="M13" s="3">
        <v>1537400</v>
      </c>
      <c r="N13" s="3"/>
      <c r="O13" s="3"/>
      <c r="P13" s="8">
        <f t="shared" ref="P13:P14" si="10">R13+S13+Q13</f>
        <v>1616600</v>
      </c>
      <c r="Q13" s="3">
        <v>921400</v>
      </c>
      <c r="R13" s="3">
        <v>695200</v>
      </c>
      <c r="S13" s="3"/>
      <c r="T13" s="5">
        <f t="shared" si="1"/>
        <v>0</v>
      </c>
      <c r="U13" s="5">
        <f t="shared" si="2"/>
        <v>100</v>
      </c>
    </row>
    <row r="14" spans="1:21" ht="45">
      <c r="A14" s="4" t="s">
        <v>39</v>
      </c>
      <c r="B14" s="2">
        <v>53030</v>
      </c>
      <c r="C14" s="2">
        <v>611.62099999999998</v>
      </c>
      <c r="D14" s="10">
        <f t="shared" si="7"/>
        <v>34150000</v>
      </c>
      <c r="E14" s="3">
        <v>34150000</v>
      </c>
      <c r="F14" s="3"/>
      <c r="G14" s="3"/>
      <c r="H14" s="10">
        <f t="shared" si="8"/>
        <v>37107000</v>
      </c>
      <c r="I14" s="3">
        <f>26530800+10576200</f>
        <v>37107000</v>
      </c>
      <c r="J14" s="3"/>
      <c r="K14" s="3"/>
      <c r="L14" s="10">
        <f t="shared" si="9"/>
        <v>37107000</v>
      </c>
      <c r="M14" s="3">
        <f>26530800+10576200</f>
        <v>37107000</v>
      </c>
      <c r="N14" s="3"/>
      <c r="O14" s="3"/>
      <c r="P14" s="8">
        <f t="shared" si="10"/>
        <v>34150000</v>
      </c>
      <c r="Q14" s="3">
        <v>34150000</v>
      </c>
      <c r="R14" s="3"/>
      <c r="S14" s="3"/>
      <c r="T14" s="5">
        <f t="shared" si="1"/>
        <v>0</v>
      </c>
      <c r="U14" s="5">
        <f t="shared" si="2"/>
        <v>100</v>
      </c>
    </row>
    <row r="15" spans="1:21" ht="45.75" customHeight="1">
      <c r="A15" s="27" t="s">
        <v>32</v>
      </c>
      <c r="B15" s="28"/>
      <c r="C15" s="29"/>
      <c r="D15" s="10">
        <f>D16+D17+D18</f>
        <v>9820090</v>
      </c>
      <c r="E15" s="10">
        <f t="shared" ref="E15:T15" si="11">E16+E17+E18</f>
        <v>0</v>
      </c>
      <c r="F15" s="10">
        <f t="shared" si="11"/>
        <v>1975900</v>
      </c>
      <c r="G15" s="10">
        <f t="shared" si="11"/>
        <v>7844190</v>
      </c>
      <c r="H15" s="10">
        <f>H16+H17+H18</f>
        <v>38094200</v>
      </c>
      <c r="I15" s="10">
        <f t="shared" si="11"/>
        <v>0</v>
      </c>
      <c r="J15" s="10">
        <f t="shared" si="11"/>
        <v>25311300</v>
      </c>
      <c r="K15" s="10">
        <f t="shared" si="11"/>
        <v>12782900</v>
      </c>
      <c r="L15" s="10">
        <f t="shared" si="11"/>
        <v>0</v>
      </c>
      <c r="M15" s="10">
        <f t="shared" si="11"/>
        <v>0</v>
      </c>
      <c r="N15" s="10">
        <f t="shared" si="11"/>
        <v>0</v>
      </c>
      <c r="O15" s="10">
        <f t="shared" si="11"/>
        <v>0</v>
      </c>
      <c r="P15" s="10">
        <f>P16+P17+P18</f>
        <v>4446934.8900000006</v>
      </c>
      <c r="Q15" s="10">
        <f t="shared" si="11"/>
        <v>0</v>
      </c>
      <c r="R15" s="10">
        <f t="shared" si="11"/>
        <v>1975890</v>
      </c>
      <c r="S15" s="10">
        <f t="shared" si="11"/>
        <v>2471044.89</v>
      </c>
      <c r="T15" s="10">
        <f t="shared" si="11"/>
        <v>5373155.1099999994</v>
      </c>
      <c r="U15" s="26">
        <f>P15/D15*100</f>
        <v>45.284054321294413</v>
      </c>
    </row>
    <row r="16" spans="1:21" ht="30">
      <c r="A16" s="4" t="s">
        <v>29</v>
      </c>
      <c r="B16" s="12">
        <v>63010</v>
      </c>
      <c r="C16" s="12">
        <v>612</v>
      </c>
      <c r="D16" s="10">
        <f>F16+G16+E16</f>
        <v>0</v>
      </c>
      <c r="E16" s="3"/>
      <c r="F16" s="11"/>
      <c r="G16" s="11"/>
      <c r="H16" s="10">
        <f>J16+K16+I16</f>
        <v>23211000</v>
      </c>
      <c r="I16" s="3"/>
      <c r="J16" s="11">
        <f>21221200+1293400</f>
        <v>22514600</v>
      </c>
      <c r="K16" s="11">
        <v>696400</v>
      </c>
      <c r="L16" s="10">
        <f>N16+O16+M16</f>
        <v>0</v>
      </c>
      <c r="M16" s="3"/>
      <c r="N16" s="11"/>
      <c r="O16" s="11"/>
      <c r="P16" s="8">
        <f t="shared" ref="P16:P27" si="12">R16+S16</f>
        <v>0</v>
      </c>
      <c r="Q16" s="11"/>
      <c r="R16" s="11"/>
      <c r="S16" s="11"/>
      <c r="T16" s="5">
        <f t="shared" si="1"/>
        <v>0</v>
      </c>
      <c r="U16" s="5" t="e">
        <f t="shared" si="2"/>
        <v>#DIV/0!</v>
      </c>
    </row>
    <row r="17" spans="1:21" ht="30">
      <c r="A17" s="4" t="s">
        <v>30</v>
      </c>
      <c r="B17" s="18" t="s">
        <v>63</v>
      </c>
      <c r="C17" s="18">
        <v>612.62199999999996</v>
      </c>
      <c r="D17" s="10">
        <f t="shared" ref="D17:D18" si="13">F17+G17+E17</f>
        <v>9820090</v>
      </c>
      <c r="E17" s="3"/>
      <c r="F17" s="11">
        <v>1975900</v>
      </c>
      <c r="G17" s="11">
        <f>61100+2100000+5506090+177000</f>
        <v>7844190</v>
      </c>
      <c r="H17" s="10">
        <f t="shared" ref="H17:H18" si="14">J17+K17+I17</f>
        <v>14883200</v>
      </c>
      <c r="I17" s="3"/>
      <c r="J17" s="11">
        <f>582000+2214700</f>
        <v>2796700</v>
      </c>
      <c r="K17" s="11">
        <f>18000+68500+12000000</f>
        <v>12086500</v>
      </c>
      <c r="L17" s="10">
        <f t="shared" ref="L17:L18" si="15">N17+O17+M17</f>
        <v>0</v>
      </c>
      <c r="M17" s="3"/>
      <c r="N17" s="11"/>
      <c r="O17" s="11"/>
      <c r="P17" s="8">
        <f t="shared" si="12"/>
        <v>4446934.8900000006</v>
      </c>
      <c r="Q17" s="11"/>
      <c r="R17" s="11">
        <v>1975890</v>
      </c>
      <c r="S17" s="11">
        <v>2471044.89</v>
      </c>
      <c r="T17" s="5">
        <f t="shared" si="1"/>
        <v>5373155.1099999994</v>
      </c>
      <c r="U17" s="5">
        <f t="shared" si="2"/>
        <v>45.284054321294413</v>
      </c>
    </row>
    <row r="18" spans="1:21" ht="30">
      <c r="A18" s="4" t="s">
        <v>31</v>
      </c>
      <c r="B18" s="2"/>
      <c r="C18" s="2"/>
      <c r="D18" s="10">
        <f t="shared" si="13"/>
        <v>0</v>
      </c>
      <c r="E18" s="3"/>
      <c r="F18" s="3"/>
      <c r="G18" s="3"/>
      <c r="H18" s="10">
        <f t="shared" si="14"/>
        <v>0</v>
      </c>
      <c r="I18" s="3"/>
      <c r="J18" s="3"/>
      <c r="K18" s="3"/>
      <c r="L18" s="10">
        <f t="shared" si="15"/>
        <v>0</v>
      </c>
      <c r="M18" s="3"/>
      <c r="N18" s="3"/>
      <c r="O18" s="3"/>
      <c r="P18" s="8">
        <f t="shared" si="12"/>
        <v>0</v>
      </c>
      <c r="Q18" s="3"/>
      <c r="R18" s="3"/>
      <c r="S18" s="3"/>
      <c r="T18" s="5">
        <f t="shared" si="1"/>
        <v>0</v>
      </c>
      <c r="U18" s="5" t="e">
        <f t="shared" si="2"/>
        <v>#DIV/0!</v>
      </c>
    </row>
    <row r="19" spans="1:21" ht="33.75" customHeight="1">
      <c r="A19" s="27" t="s">
        <v>10</v>
      </c>
      <c r="B19" s="28"/>
      <c r="C19" s="29"/>
      <c r="D19" s="10">
        <f>D20+D21</f>
        <v>563410870.88999999</v>
      </c>
      <c r="E19" s="10">
        <f t="shared" ref="E19:U19" si="16">E20+E21</f>
        <v>0</v>
      </c>
      <c r="F19" s="10">
        <f t="shared" si="16"/>
        <v>422377470.88999999</v>
      </c>
      <c r="G19" s="10">
        <f t="shared" si="16"/>
        <v>141033400</v>
      </c>
      <c r="H19" s="10">
        <f t="shared" si="16"/>
        <v>428539200</v>
      </c>
      <c r="I19" s="10">
        <f t="shared" si="16"/>
        <v>0</v>
      </c>
      <c r="J19" s="10">
        <f t="shared" si="16"/>
        <v>314239200</v>
      </c>
      <c r="K19" s="10">
        <f t="shared" si="16"/>
        <v>114300000</v>
      </c>
      <c r="L19" s="10">
        <f t="shared" si="16"/>
        <v>438539200</v>
      </c>
      <c r="M19" s="10">
        <f t="shared" si="16"/>
        <v>0</v>
      </c>
      <c r="N19" s="10">
        <f t="shared" si="16"/>
        <v>314239200</v>
      </c>
      <c r="O19" s="10">
        <f t="shared" si="16"/>
        <v>124300000</v>
      </c>
      <c r="P19" s="10">
        <f>P20+P21</f>
        <v>550591174.56999993</v>
      </c>
      <c r="Q19" s="10">
        <f t="shared" si="16"/>
        <v>0</v>
      </c>
      <c r="R19" s="10">
        <f t="shared" si="16"/>
        <v>422377470.88999999</v>
      </c>
      <c r="S19" s="10">
        <f t="shared" si="16"/>
        <v>128213703.68000001</v>
      </c>
      <c r="T19" s="10">
        <f t="shared" si="16"/>
        <v>12819696.320000015</v>
      </c>
      <c r="U19" s="10">
        <f t="shared" si="16"/>
        <v>182.04434183412059</v>
      </c>
    </row>
    <row r="20" spans="1:21" ht="45">
      <c r="A20" s="4" t="s">
        <v>11</v>
      </c>
      <c r="B20" s="21" t="s">
        <v>40</v>
      </c>
      <c r="C20" s="20">
        <v>611</v>
      </c>
      <c r="D20" s="10">
        <f>F20+G20+E20</f>
        <v>554744170.88999999</v>
      </c>
      <c r="E20" s="3"/>
      <c r="F20" s="3">
        <v>422377470.88999999</v>
      </c>
      <c r="G20" s="3">
        <v>132366700</v>
      </c>
      <c r="H20" s="10">
        <f>J20+K20+I20</f>
        <v>428539200</v>
      </c>
      <c r="I20" s="3"/>
      <c r="J20" s="3">
        <f>50600+310224600+3964000</f>
        <v>314239200</v>
      </c>
      <c r="K20" s="3">
        <f>114300000</f>
        <v>114300000</v>
      </c>
      <c r="L20" s="10">
        <f>N20+O20+M20</f>
        <v>438539200</v>
      </c>
      <c r="M20" s="3"/>
      <c r="N20" s="3">
        <f>50600+310224600+3964000</f>
        <v>314239200</v>
      </c>
      <c r="O20" s="3">
        <f>124300000</f>
        <v>124300000</v>
      </c>
      <c r="P20" s="8">
        <f>R20+S20+Q20</f>
        <v>543301876.02999997</v>
      </c>
      <c r="Q20" s="3"/>
      <c r="R20" s="3">
        <v>422377470.88999999</v>
      </c>
      <c r="S20" s="3">
        <v>120924405.14</v>
      </c>
      <c r="T20" s="5">
        <f t="shared" si="1"/>
        <v>11442294.860000014</v>
      </c>
      <c r="U20" s="5">
        <f t="shared" si="2"/>
        <v>97.937374476302722</v>
      </c>
    </row>
    <row r="21" spans="1:21" ht="33" customHeight="1">
      <c r="A21" s="4" t="s">
        <v>12</v>
      </c>
      <c r="B21" s="21" t="s">
        <v>41</v>
      </c>
      <c r="C21" s="20">
        <v>350.61200000000002</v>
      </c>
      <c r="D21" s="10">
        <f>F21+G21+E21</f>
        <v>8666700</v>
      </c>
      <c r="E21" s="3"/>
      <c r="F21" s="3"/>
      <c r="G21" s="3">
        <v>8666700</v>
      </c>
      <c r="H21" s="10">
        <f>J21+K21+I21</f>
        <v>0</v>
      </c>
      <c r="I21" s="3"/>
      <c r="J21" s="3"/>
      <c r="K21" s="3"/>
      <c r="L21" s="10">
        <f>N21+O21+M21</f>
        <v>0</v>
      </c>
      <c r="M21" s="3"/>
      <c r="N21" s="3"/>
      <c r="O21" s="3"/>
      <c r="P21" s="8">
        <f>R21+S21+Q21</f>
        <v>7289298.54</v>
      </c>
      <c r="Q21" s="3"/>
      <c r="R21" s="3"/>
      <c r="S21" s="3">
        <v>7289298.54</v>
      </c>
      <c r="T21" s="5">
        <f t="shared" si="1"/>
        <v>1377401.46</v>
      </c>
      <c r="U21" s="5">
        <f t="shared" si="2"/>
        <v>84.106967357817851</v>
      </c>
    </row>
    <row r="22" spans="1:21" ht="32.25" customHeight="1">
      <c r="A22" s="27" t="s">
        <v>48</v>
      </c>
      <c r="B22" s="28"/>
      <c r="C22" s="29"/>
      <c r="D22" s="10">
        <f>D23+D24+D25+D26+D27</f>
        <v>803788939.11000001</v>
      </c>
      <c r="E22" s="10">
        <f t="shared" ref="E22:T22" si="17">E23+E24+E25+E26+E27</f>
        <v>0</v>
      </c>
      <c r="F22" s="10">
        <f t="shared" si="17"/>
        <v>609845829.11000001</v>
      </c>
      <c r="G22" s="10">
        <f t="shared" si="17"/>
        <v>193943110</v>
      </c>
      <c r="H22" s="10">
        <f t="shared" si="17"/>
        <v>656473100</v>
      </c>
      <c r="I22" s="10">
        <f t="shared" si="17"/>
        <v>0</v>
      </c>
      <c r="J22" s="10">
        <f t="shared" si="17"/>
        <v>506026300</v>
      </c>
      <c r="K22" s="10">
        <f t="shared" si="17"/>
        <v>150446800</v>
      </c>
      <c r="L22" s="10">
        <f t="shared" si="17"/>
        <v>654493000</v>
      </c>
      <c r="M22" s="10">
        <f t="shared" si="17"/>
        <v>0</v>
      </c>
      <c r="N22" s="10">
        <f t="shared" si="17"/>
        <v>506026300</v>
      </c>
      <c r="O22" s="10">
        <f t="shared" si="17"/>
        <v>148466700</v>
      </c>
      <c r="P22" s="10">
        <f>P23+P24+P25+P26+P27</f>
        <v>770290488.82000005</v>
      </c>
      <c r="Q22" s="10"/>
      <c r="R22" s="10">
        <f t="shared" si="17"/>
        <v>609714186.73000002</v>
      </c>
      <c r="S22" s="10">
        <f t="shared" si="17"/>
        <v>160576302.09</v>
      </c>
      <c r="T22" s="10">
        <f t="shared" si="17"/>
        <v>33498450.290000003</v>
      </c>
      <c r="U22" s="9">
        <f t="shared" si="2"/>
        <v>95.832432040295146</v>
      </c>
    </row>
    <row r="23" spans="1:21" ht="45">
      <c r="A23" s="4" t="s">
        <v>13</v>
      </c>
      <c r="B23" s="21" t="s">
        <v>42</v>
      </c>
      <c r="C23" s="20">
        <v>611.62099999999998</v>
      </c>
      <c r="D23" s="10">
        <f>F23+G23+E23</f>
        <v>795431839.11000001</v>
      </c>
      <c r="E23" s="3"/>
      <c r="F23" s="3">
        <v>609755729.11000001</v>
      </c>
      <c r="G23" s="3">
        <v>185676110</v>
      </c>
      <c r="H23" s="10">
        <f>J23+K23+I23</f>
        <v>656473100</v>
      </c>
      <c r="I23" s="3"/>
      <c r="J23" s="3">
        <v>506026300</v>
      </c>
      <c r="K23" s="3">
        <v>150446800</v>
      </c>
      <c r="L23" s="10">
        <f>N23+O23+M23</f>
        <v>654493000</v>
      </c>
      <c r="M23" s="3"/>
      <c r="N23" s="3">
        <f>505446300+580000</f>
        <v>506026300</v>
      </c>
      <c r="O23" s="3">
        <f>148466700</f>
        <v>148466700</v>
      </c>
      <c r="P23" s="8">
        <f>R23+S23</f>
        <v>764941224.49000001</v>
      </c>
      <c r="Q23" s="3"/>
      <c r="R23" s="3">
        <v>609624178.97000003</v>
      </c>
      <c r="S23" s="3">
        <v>155317045.52000001</v>
      </c>
      <c r="T23" s="5">
        <f t="shared" si="1"/>
        <v>30490614.620000005</v>
      </c>
      <c r="U23" s="5">
        <f t="shared" si="2"/>
        <v>96.166784742472018</v>
      </c>
    </row>
    <row r="24" spans="1:21" ht="30">
      <c r="A24" s="4" t="s">
        <v>14</v>
      </c>
      <c r="B24" s="21" t="s">
        <v>43</v>
      </c>
      <c r="C24" s="19" t="s">
        <v>44</v>
      </c>
      <c r="D24" s="10">
        <f t="shared" ref="D24:D27" si="18">F24+G24+E24</f>
        <v>5864200</v>
      </c>
      <c r="E24" s="3"/>
      <c r="F24" s="3"/>
      <c r="G24" s="3">
        <v>5864200</v>
      </c>
      <c r="H24" s="10">
        <f t="shared" ref="H24:H27" si="19">J24+K24+I24</f>
        <v>0</v>
      </c>
      <c r="I24" s="3"/>
      <c r="J24" s="3"/>
      <c r="K24" s="3"/>
      <c r="L24" s="10">
        <f t="shared" ref="L24:L27" si="20">N24+O24+M24</f>
        <v>0</v>
      </c>
      <c r="M24" s="3"/>
      <c r="N24" s="3"/>
      <c r="O24" s="3"/>
      <c r="P24" s="8">
        <f>R24+S24</f>
        <v>4128269.94</v>
      </c>
      <c r="Q24" s="3"/>
      <c r="R24" s="3"/>
      <c r="S24" s="3">
        <v>4128269.94</v>
      </c>
      <c r="T24" s="5">
        <f t="shared" si="1"/>
        <v>1735930.06</v>
      </c>
      <c r="U24" s="5">
        <f t="shared" si="2"/>
        <v>70.397836704068752</v>
      </c>
    </row>
    <row r="25" spans="1:21" ht="30">
      <c r="A25" s="4" t="s">
        <v>15</v>
      </c>
      <c r="B25" s="21" t="s">
        <v>45</v>
      </c>
      <c r="C25" s="19" t="s">
        <v>46</v>
      </c>
      <c r="D25" s="10">
        <f t="shared" si="18"/>
        <v>2400000</v>
      </c>
      <c r="E25" s="3"/>
      <c r="F25" s="3"/>
      <c r="G25" s="3">
        <v>2400000</v>
      </c>
      <c r="H25" s="10">
        <f t="shared" si="19"/>
        <v>0</v>
      </c>
      <c r="I25" s="3"/>
      <c r="J25" s="3"/>
      <c r="K25" s="3"/>
      <c r="L25" s="10">
        <f t="shared" si="20"/>
        <v>0</v>
      </c>
      <c r="M25" s="3"/>
      <c r="N25" s="3"/>
      <c r="O25" s="3"/>
      <c r="P25" s="8">
        <f t="shared" si="12"/>
        <v>1128202.8899999999</v>
      </c>
      <c r="Q25" s="3"/>
      <c r="R25" s="3"/>
      <c r="S25" s="3">
        <v>1128202.8899999999</v>
      </c>
      <c r="T25" s="5">
        <f t="shared" si="1"/>
        <v>1271797.1100000001</v>
      </c>
      <c r="U25" s="5">
        <f t="shared" si="2"/>
        <v>47.008453749999994</v>
      </c>
    </row>
    <row r="26" spans="1:21">
      <c r="A26" s="4" t="s">
        <v>16</v>
      </c>
      <c r="B26" s="21"/>
      <c r="C26" s="20"/>
      <c r="D26" s="10">
        <f t="shared" si="18"/>
        <v>0</v>
      </c>
      <c r="E26" s="3"/>
      <c r="F26" s="3"/>
      <c r="G26" s="3"/>
      <c r="H26" s="10">
        <f t="shared" si="19"/>
        <v>0</v>
      </c>
      <c r="I26" s="3"/>
      <c r="J26" s="3"/>
      <c r="K26" s="3"/>
      <c r="L26" s="10">
        <f t="shared" si="20"/>
        <v>0</v>
      </c>
      <c r="M26" s="3"/>
      <c r="N26" s="3"/>
      <c r="O26" s="3"/>
      <c r="P26" s="8">
        <f t="shared" si="12"/>
        <v>0</v>
      </c>
      <c r="Q26" s="3"/>
      <c r="R26" s="3"/>
      <c r="S26" s="3"/>
      <c r="T26" s="5">
        <f t="shared" si="1"/>
        <v>0</v>
      </c>
      <c r="U26" s="5"/>
    </row>
    <row r="27" spans="1:21">
      <c r="A27" s="4" t="s">
        <v>17</v>
      </c>
      <c r="B27" s="21" t="s">
        <v>47</v>
      </c>
      <c r="C27" s="20">
        <v>622</v>
      </c>
      <c r="D27" s="10">
        <f t="shared" si="18"/>
        <v>92900</v>
      </c>
      <c r="E27" s="3"/>
      <c r="F27" s="3">
        <v>90100</v>
      </c>
      <c r="G27" s="3">
        <v>2800</v>
      </c>
      <c r="H27" s="10">
        <f t="shared" si="19"/>
        <v>0</v>
      </c>
      <c r="I27" s="3"/>
      <c r="J27" s="3"/>
      <c r="K27" s="3"/>
      <c r="L27" s="10">
        <f t="shared" si="20"/>
        <v>0</v>
      </c>
      <c r="M27" s="3"/>
      <c r="N27" s="3"/>
      <c r="O27" s="3"/>
      <c r="P27" s="8">
        <f t="shared" si="12"/>
        <v>92791.5</v>
      </c>
      <c r="Q27" s="3"/>
      <c r="R27" s="3">
        <v>90007.76</v>
      </c>
      <c r="S27" s="3">
        <v>2783.74</v>
      </c>
      <c r="T27" s="5">
        <f t="shared" si="1"/>
        <v>108.5</v>
      </c>
      <c r="U27" s="5">
        <f t="shared" si="2"/>
        <v>99.883207750269108</v>
      </c>
    </row>
    <row r="28" spans="1:21" ht="33" customHeight="1">
      <c r="A28" s="27" t="s">
        <v>19</v>
      </c>
      <c r="B28" s="28"/>
      <c r="C28" s="29"/>
      <c r="D28" s="10">
        <f>D29</f>
        <v>28124100</v>
      </c>
      <c r="E28" s="10">
        <f>E29</f>
        <v>1491900</v>
      </c>
      <c r="F28" s="10">
        <f t="shared" ref="F28:O28" si="21">F29</f>
        <v>17546400</v>
      </c>
      <c r="G28" s="10">
        <f t="shared" si="21"/>
        <v>9085800</v>
      </c>
      <c r="H28" s="10">
        <f t="shared" si="21"/>
        <v>39964100</v>
      </c>
      <c r="I28" s="10">
        <f t="shared" si="21"/>
        <v>4478700</v>
      </c>
      <c r="J28" s="10">
        <f t="shared" si="21"/>
        <v>34722400</v>
      </c>
      <c r="K28" s="10">
        <f t="shared" si="21"/>
        <v>763000</v>
      </c>
      <c r="L28" s="10">
        <f t="shared" si="21"/>
        <v>38964100</v>
      </c>
      <c r="M28" s="10">
        <f t="shared" si="21"/>
        <v>4265300</v>
      </c>
      <c r="N28" s="10">
        <f t="shared" si="21"/>
        <v>33965800</v>
      </c>
      <c r="O28" s="10">
        <f t="shared" si="21"/>
        <v>733000</v>
      </c>
      <c r="P28" s="10">
        <f>P29</f>
        <v>25942218.059999999</v>
      </c>
      <c r="Q28" s="10">
        <f t="shared" ref="Q28:S28" si="22">Q29</f>
        <v>1491900</v>
      </c>
      <c r="R28" s="10">
        <f t="shared" si="22"/>
        <v>17220341</v>
      </c>
      <c r="S28" s="10">
        <f t="shared" si="22"/>
        <v>7229977.0599999996</v>
      </c>
      <c r="T28" s="26">
        <f t="shared" si="1"/>
        <v>2181881.9400000013</v>
      </c>
      <c r="U28" s="26">
        <f t="shared" si="2"/>
        <v>92.241949289043916</v>
      </c>
    </row>
    <row r="29" spans="1:21" ht="75">
      <c r="A29" s="4" t="s">
        <v>18</v>
      </c>
      <c r="B29" s="21" t="s">
        <v>50</v>
      </c>
      <c r="C29" s="19" t="s">
        <v>49</v>
      </c>
      <c r="D29" s="10">
        <f>F29+G29+E29</f>
        <v>28124100</v>
      </c>
      <c r="E29" s="3">
        <v>1491900</v>
      </c>
      <c r="F29" s="3">
        <f>12551400+4995000</f>
        <v>17546400</v>
      </c>
      <c r="G29" s="3">
        <f>8885100+200700</f>
        <v>9085800</v>
      </c>
      <c r="H29" s="10">
        <f>J29+K29+I29</f>
        <v>39964100</v>
      </c>
      <c r="I29" s="3">
        <v>4478700</v>
      </c>
      <c r="J29" s="3">
        <f>15879300+4308000+14535100</f>
        <v>34722400</v>
      </c>
      <c r="K29" s="3">
        <f>629700+133300</f>
        <v>763000</v>
      </c>
      <c r="L29" s="10">
        <f>N29+O29+M29</f>
        <v>38964100</v>
      </c>
      <c r="M29" s="3">
        <v>4265300</v>
      </c>
      <c r="N29" s="3">
        <f>15122700+4308000+14535100</f>
        <v>33965800</v>
      </c>
      <c r="O29" s="3">
        <f>599700+133300</f>
        <v>733000</v>
      </c>
      <c r="P29" s="8">
        <f>R29+S29+Q29</f>
        <v>25942218.059999999</v>
      </c>
      <c r="Q29" s="3">
        <v>1491900</v>
      </c>
      <c r="R29" s="3">
        <v>17220341</v>
      </c>
      <c r="S29" s="3">
        <v>7229977.0599999996</v>
      </c>
      <c r="T29" s="5">
        <f t="shared" si="1"/>
        <v>2181881.9400000013</v>
      </c>
      <c r="U29" s="5">
        <f t="shared" si="2"/>
        <v>92.241949289043916</v>
      </c>
    </row>
    <row r="30" spans="1:21" ht="33.75" customHeight="1">
      <c r="A30" s="27" t="s">
        <v>20</v>
      </c>
      <c r="B30" s="28"/>
      <c r="C30" s="29"/>
      <c r="D30" s="10">
        <f>D31+D32+D33</f>
        <v>103357500</v>
      </c>
      <c r="E30" s="10">
        <f t="shared" ref="E30:T30" si="23">E31+E32+E33</f>
        <v>0</v>
      </c>
      <c r="F30" s="10">
        <f t="shared" si="23"/>
        <v>0</v>
      </c>
      <c r="G30" s="10">
        <f t="shared" si="23"/>
        <v>103357500</v>
      </c>
      <c r="H30" s="10">
        <f t="shared" si="23"/>
        <v>67107600</v>
      </c>
      <c r="I30" s="10">
        <f t="shared" si="23"/>
        <v>0</v>
      </c>
      <c r="J30" s="10">
        <f t="shared" si="23"/>
        <v>0</v>
      </c>
      <c r="K30" s="10">
        <f t="shared" si="23"/>
        <v>67107600</v>
      </c>
      <c r="L30" s="10">
        <f t="shared" si="23"/>
        <v>76380100</v>
      </c>
      <c r="M30" s="10">
        <f t="shared" si="23"/>
        <v>0</v>
      </c>
      <c r="N30" s="10">
        <f t="shared" si="23"/>
        <v>0</v>
      </c>
      <c r="O30" s="10">
        <f t="shared" si="23"/>
        <v>76380100</v>
      </c>
      <c r="P30" s="10">
        <f>P31+P32+P33</f>
        <v>100544239.02000001</v>
      </c>
      <c r="Q30" s="10">
        <f t="shared" si="23"/>
        <v>0</v>
      </c>
      <c r="R30" s="10">
        <f t="shared" si="23"/>
        <v>0</v>
      </c>
      <c r="S30" s="10">
        <f t="shared" si="23"/>
        <v>100544239.02000001</v>
      </c>
      <c r="T30" s="10">
        <f t="shared" si="23"/>
        <v>2813260.9799999958</v>
      </c>
      <c r="U30" s="26">
        <f t="shared" si="2"/>
        <v>97.278125941513693</v>
      </c>
    </row>
    <row r="31" spans="1:21">
      <c r="A31" s="4" t="s">
        <v>21</v>
      </c>
      <c r="B31" s="22" t="s">
        <v>51</v>
      </c>
      <c r="C31" s="20">
        <v>611</v>
      </c>
      <c r="D31" s="10">
        <f>F31+G31+E31</f>
        <v>101172300</v>
      </c>
      <c r="E31" s="3"/>
      <c r="F31" s="3"/>
      <c r="G31" s="3">
        <v>101172300</v>
      </c>
      <c r="H31" s="10">
        <f>J31+K31+I31</f>
        <v>67107600</v>
      </c>
      <c r="I31" s="3"/>
      <c r="J31" s="3"/>
      <c r="K31" s="3">
        <f>67107600</f>
        <v>67107600</v>
      </c>
      <c r="L31" s="10">
        <f>N31+O31+M31</f>
        <v>76380100</v>
      </c>
      <c r="M31" s="3"/>
      <c r="N31" s="3"/>
      <c r="O31" s="3">
        <f>76380100</f>
        <v>76380100</v>
      </c>
      <c r="P31" s="8">
        <f>Q31+R31+S31</f>
        <v>98883418.980000004</v>
      </c>
      <c r="Q31" s="3"/>
      <c r="R31" s="3"/>
      <c r="S31" s="3">
        <v>98883418.980000004</v>
      </c>
      <c r="T31" s="5">
        <f t="shared" ref="T31" si="24">D31-P31</f>
        <v>2288881.0199999958</v>
      </c>
      <c r="U31" s="5">
        <f t="shared" ref="U31" si="25">P31/D31*100</f>
        <v>97.737640619023196</v>
      </c>
    </row>
    <row r="32" spans="1:21" ht="30">
      <c r="A32" s="4" t="s">
        <v>22</v>
      </c>
      <c r="B32" s="21" t="s">
        <v>52</v>
      </c>
      <c r="C32" s="20">
        <v>350.61200000000002</v>
      </c>
      <c r="D32" s="10">
        <f t="shared" ref="D32:D33" si="26">F32+G32+E32</f>
        <v>885200</v>
      </c>
      <c r="E32" s="3"/>
      <c r="F32" s="3"/>
      <c r="G32" s="3">
        <v>885200</v>
      </c>
      <c r="H32" s="10">
        <f t="shared" ref="H32:H33" si="27">J32+K32+I32</f>
        <v>0</v>
      </c>
      <c r="I32" s="3"/>
      <c r="J32" s="3"/>
      <c r="K32" s="3"/>
      <c r="L32" s="10">
        <f t="shared" ref="L32:L33" si="28">N32+O32+M32</f>
        <v>0</v>
      </c>
      <c r="M32" s="3"/>
      <c r="N32" s="3"/>
      <c r="O32" s="3"/>
      <c r="P32" s="8">
        <f t="shared" ref="P32:P33" si="29">Q32+R32+S32</f>
        <v>748340.7</v>
      </c>
      <c r="Q32" s="3"/>
      <c r="R32" s="3"/>
      <c r="S32" s="3">
        <v>748340.7</v>
      </c>
      <c r="T32" s="5">
        <f t="shared" ref="T32:T33" si="30">D32-P32</f>
        <v>136859.30000000005</v>
      </c>
      <c r="U32" s="5">
        <f t="shared" ref="U32:U34" si="31">P32/D32*100</f>
        <v>84.539166290103935</v>
      </c>
    </row>
    <row r="33" spans="1:21">
      <c r="A33" s="4" t="s">
        <v>15</v>
      </c>
      <c r="B33" s="22" t="s">
        <v>45</v>
      </c>
      <c r="C33" s="20">
        <v>244.61199999999999</v>
      </c>
      <c r="D33" s="10">
        <f t="shared" si="26"/>
        <v>1300000</v>
      </c>
      <c r="E33" s="3"/>
      <c r="F33" s="3"/>
      <c r="G33" s="3">
        <v>1300000</v>
      </c>
      <c r="H33" s="10">
        <f t="shared" si="27"/>
        <v>0</v>
      </c>
      <c r="I33" s="3"/>
      <c r="J33" s="3"/>
      <c r="K33" s="3"/>
      <c r="L33" s="10">
        <f t="shared" si="28"/>
        <v>0</v>
      </c>
      <c r="M33" s="3"/>
      <c r="N33" s="3"/>
      <c r="O33" s="3"/>
      <c r="P33" s="8">
        <f t="shared" si="29"/>
        <v>912479.34</v>
      </c>
      <c r="Q33" s="3"/>
      <c r="R33" s="3"/>
      <c r="S33" s="3">
        <v>912479.34</v>
      </c>
      <c r="T33" s="5">
        <f t="shared" si="30"/>
        <v>387520.66000000003</v>
      </c>
      <c r="U33" s="5">
        <f t="shared" si="31"/>
        <v>70.190718461538466</v>
      </c>
    </row>
    <row r="34" spans="1:21" ht="30.75" customHeight="1">
      <c r="A34" s="27" t="s">
        <v>23</v>
      </c>
      <c r="B34" s="28"/>
      <c r="C34" s="29"/>
      <c r="D34" s="10">
        <f>D35+D36</f>
        <v>107461300</v>
      </c>
      <c r="E34" s="10">
        <f t="shared" ref="E34:T34" si="32">E35+E36</f>
        <v>0</v>
      </c>
      <c r="F34" s="10">
        <f t="shared" si="32"/>
        <v>106033300</v>
      </c>
      <c r="G34" s="10">
        <f t="shared" si="32"/>
        <v>1428000</v>
      </c>
      <c r="H34" s="10">
        <f t="shared" si="32"/>
        <v>116389600</v>
      </c>
      <c r="I34" s="10">
        <f t="shared" si="32"/>
        <v>0</v>
      </c>
      <c r="J34" s="10">
        <f t="shared" si="32"/>
        <v>116389600</v>
      </c>
      <c r="K34" s="10">
        <f t="shared" si="32"/>
        <v>0</v>
      </c>
      <c r="L34" s="10">
        <f t="shared" si="32"/>
        <v>116317100</v>
      </c>
      <c r="M34" s="10">
        <f t="shared" si="32"/>
        <v>0</v>
      </c>
      <c r="N34" s="10">
        <f t="shared" si="32"/>
        <v>116317100</v>
      </c>
      <c r="O34" s="10">
        <f t="shared" si="32"/>
        <v>0</v>
      </c>
      <c r="P34" s="10">
        <f>P35+P36</f>
        <v>107113334.41</v>
      </c>
      <c r="Q34" s="10">
        <f>Q35</f>
        <v>0</v>
      </c>
      <c r="R34" s="10">
        <f t="shared" si="32"/>
        <v>105854214.16</v>
      </c>
      <c r="S34" s="10">
        <f t="shared" si="32"/>
        <v>1259120.25</v>
      </c>
      <c r="T34" s="10">
        <f t="shared" si="32"/>
        <v>347965.58999999613</v>
      </c>
      <c r="U34" s="26">
        <f t="shared" si="31"/>
        <v>99.676194509093037</v>
      </c>
    </row>
    <row r="35" spans="1:21" ht="75">
      <c r="A35" s="4" t="s">
        <v>24</v>
      </c>
      <c r="B35" s="21" t="s">
        <v>62</v>
      </c>
      <c r="C35" s="19" t="s">
        <v>53</v>
      </c>
      <c r="D35" s="10">
        <f>F35+G35+E35</f>
        <v>12616700</v>
      </c>
      <c r="E35" s="3"/>
      <c r="F35" s="3">
        <v>11188700</v>
      </c>
      <c r="G35" s="3">
        <v>1428000</v>
      </c>
      <c r="H35" s="10">
        <f>J35+K35+I35</f>
        <v>9127900</v>
      </c>
      <c r="I35" s="3"/>
      <c r="J35" s="3">
        <f>174600+77000+7050700+1825600</f>
        <v>9127900</v>
      </c>
      <c r="K35" s="3"/>
      <c r="L35" s="10">
        <f>N35+O35+M35</f>
        <v>9155400</v>
      </c>
      <c r="M35" s="3"/>
      <c r="N35" s="3">
        <f>174600+77000+7050700+1853100</f>
        <v>9155400</v>
      </c>
      <c r="O35" s="3"/>
      <c r="P35" s="8">
        <f>Q35+R35+S35</f>
        <v>12446818.32</v>
      </c>
      <c r="Q35" s="3"/>
      <c r="R35" s="3">
        <v>11187698.07</v>
      </c>
      <c r="S35" s="3">
        <v>1259120.25</v>
      </c>
      <c r="T35" s="5">
        <f t="shared" ref="T35:T36" si="33">D35-P35</f>
        <v>169881.6799999997</v>
      </c>
      <c r="U35" s="5">
        <f t="shared" ref="U35:U36" si="34">P35/D35*100</f>
        <v>98.6535173222792</v>
      </c>
    </row>
    <row r="36" spans="1:21" ht="30">
      <c r="A36" s="25" t="s">
        <v>59</v>
      </c>
      <c r="B36" s="21" t="s">
        <v>60</v>
      </c>
      <c r="C36" s="19" t="s">
        <v>61</v>
      </c>
      <c r="D36" s="10">
        <f>F36+G36+E36</f>
        <v>94844600</v>
      </c>
      <c r="E36" s="3"/>
      <c r="F36" s="3">
        <v>94844600</v>
      </c>
      <c r="G36" s="3"/>
      <c r="H36" s="10">
        <f>J36+K36+I36</f>
        <v>107261700</v>
      </c>
      <c r="I36" s="3"/>
      <c r="J36" s="3">
        <v>107261700</v>
      </c>
      <c r="K36" s="3"/>
      <c r="L36" s="10">
        <f>N36+O36+M36</f>
        <v>107161700</v>
      </c>
      <c r="M36" s="3"/>
      <c r="N36" s="3">
        <v>107161700</v>
      </c>
      <c r="O36" s="3"/>
      <c r="P36" s="8">
        <f>Q36+R36+S36</f>
        <v>94666516.090000004</v>
      </c>
      <c r="Q36" s="3"/>
      <c r="R36" s="3">
        <v>94666516.090000004</v>
      </c>
      <c r="S36" s="3"/>
      <c r="T36" s="5">
        <f t="shared" si="33"/>
        <v>178083.90999999642</v>
      </c>
      <c r="U36" s="5">
        <f t="shared" si="34"/>
        <v>99.812236110437496</v>
      </c>
    </row>
    <row r="37" spans="1:21" ht="48" customHeight="1">
      <c r="A37" s="27" t="s">
        <v>25</v>
      </c>
      <c r="B37" s="28"/>
      <c r="C37" s="29"/>
      <c r="D37" s="10">
        <f>D38+D39</f>
        <v>41694100</v>
      </c>
      <c r="E37" s="10">
        <f t="shared" ref="E37:U37" si="35">E38+E39</f>
        <v>0</v>
      </c>
      <c r="F37" s="10">
        <f t="shared" si="35"/>
        <v>12437200</v>
      </c>
      <c r="G37" s="10">
        <f t="shared" si="35"/>
        <v>29256900</v>
      </c>
      <c r="H37" s="10">
        <f t="shared" si="35"/>
        <v>23880700</v>
      </c>
      <c r="I37" s="10">
        <f t="shared" si="35"/>
        <v>0</v>
      </c>
      <c r="J37" s="10">
        <f t="shared" si="35"/>
        <v>11424200</v>
      </c>
      <c r="K37" s="10">
        <f t="shared" si="35"/>
        <v>12456500</v>
      </c>
      <c r="L37" s="10">
        <f t="shared" si="35"/>
        <v>23638100</v>
      </c>
      <c r="M37" s="10">
        <f t="shared" si="35"/>
        <v>0</v>
      </c>
      <c r="N37" s="10">
        <f t="shared" si="35"/>
        <v>11424200</v>
      </c>
      <c r="O37" s="10">
        <f t="shared" si="35"/>
        <v>12213900</v>
      </c>
      <c r="P37" s="10">
        <f>P38+P39</f>
        <v>40068579.580000006</v>
      </c>
      <c r="Q37" s="10"/>
      <c r="R37" s="10">
        <f t="shared" si="35"/>
        <v>12418853.110000001</v>
      </c>
      <c r="S37" s="10">
        <f t="shared" si="35"/>
        <v>27649726.470000003</v>
      </c>
      <c r="T37" s="10">
        <f t="shared" si="35"/>
        <v>1625520.4199999948</v>
      </c>
      <c r="U37" s="10">
        <f t="shared" si="35"/>
        <v>173.97487917089654</v>
      </c>
    </row>
    <row r="38" spans="1:21" ht="45">
      <c r="A38" s="4" t="s">
        <v>26</v>
      </c>
      <c r="B38" s="21" t="s">
        <v>54</v>
      </c>
      <c r="C38" s="19" t="s">
        <v>55</v>
      </c>
      <c r="D38" s="10">
        <f>F38+G38+E38</f>
        <v>39805300</v>
      </c>
      <c r="E38" s="3"/>
      <c r="F38" s="3">
        <v>11348400</v>
      </c>
      <c r="G38" s="3">
        <v>28456900</v>
      </c>
      <c r="H38" s="10">
        <f>J38+K38+I38</f>
        <v>21737900</v>
      </c>
      <c r="I38" s="3"/>
      <c r="J38" s="3">
        <f>1400000+422800+2256600+3279600+100000+990400+1632000</f>
        <v>10081400</v>
      </c>
      <c r="K38" s="3">
        <f>7760600+650000+2715900+500000+30000</f>
        <v>11656500</v>
      </c>
      <c r="L38" s="10">
        <f>N38+O38+M38</f>
        <v>21494600</v>
      </c>
      <c r="M38" s="3"/>
      <c r="N38" s="3">
        <f>1400000+422800+2256600+3279600+100000+990400+1632000</f>
        <v>10081400</v>
      </c>
      <c r="O38" s="3">
        <f>7889200+650000+2344000+500000+30000</f>
        <v>11413200</v>
      </c>
      <c r="P38" s="8">
        <f>Q38+R38+S38</f>
        <v>38614854.260000005</v>
      </c>
      <c r="Q38" s="3"/>
      <c r="R38" s="3">
        <v>11330120.710000001</v>
      </c>
      <c r="S38" s="3">
        <v>27284733.550000001</v>
      </c>
      <c r="T38" s="5">
        <f>D38-P38</f>
        <v>1190445.7399999946</v>
      </c>
      <c r="U38" s="5">
        <f t="shared" ref="U38:U39" si="36">P38/D38*100</f>
        <v>97.009328556749992</v>
      </c>
    </row>
    <row r="39" spans="1:21" ht="30">
      <c r="A39" s="4" t="s">
        <v>27</v>
      </c>
      <c r="B39" s="21" t="s">
        <v>56</v>
      </c>
      <c r="C39" s="19">
        <v>123.129</v>
      </c>
      <c r="D39" s="10">
        <f>F39+G39+E39</f>
        <v>1888800</v>
      </c>
      <c r="E39" s="3"/>
      <c r="F39" s="3">
        <v>1088800</v>
      </c>
      <c r="G39" s="3">
        <f>600000+200000</f>
        <v>800000</v>
      </c>
      <c r="H39" s="10">
        <f>J39+K39+I39</f>
        <v>2142800</v>
      </c>
      <c r="I39" s="3"/>
      <c r="J39" s="3">
        <f>1031400+311400</f>
        <v>1342800</v>
      </c>
      <c r="K39" s="3">
        <f>600000+200000</f>
        <v>800000</v>
      </c>
      <c r="L39" s="10">
        <f>N39+O39+M39</f>
        <v>2143500</v>
      </c>
      <c r="M39" s="3"/>
      <c r="N39" s="3">
        <f>1031400+311400</f>
        <v>1342800</v>
      </c>
      <c r="O39" s="3">
        <f>600000+200700</f>
        <v>800700</v>
      </c>
      <c r="P39" s="8">
        <f>Q39+R39+S39</f>
        <v>1453725.3199999998</v>
      </c>
      <c r="Q39" s="3"/>
      <c r="R39" s="3">
        <v>1088732.3999999999</v>
      </c>
      <c r="S39" s="3">
        <v>364992.92</v>
      </c>
      <c r="T39" s="5">
        <f t="shared" ref="T39" si="37">D39-P39</f>
        <v>435074.68000000017</v>
      </c>
      <c r="U39" s="5">
        <f t="shared" si="36"/>
        <v>76.965550614146537</v>
      </c>
    </row>
    <row r="40" spans="1:21">
      <c r="A40" s="33" t="s">
        <v>5</v>
      </c>
      <c r="B40" s="34"/>
      <c r="C40" s="35"/>
      <c r="D40" s="14">
        <f>D6+D8+D11+D15+D19+D22+D28+D30+D34+D37</f>
        <v>1766668700</v>
      </c>
      <c r="E40" s="14">
        <f t="shared" ref="E40:O40" si="38">E6+E8+E11+E15+E19+E22+E28+E30+E34+E37</f>
        <v>46831060.480000004</v>
      </c>
      <c r="F40" s="14">
        <f t="shared" si="38"/>
        <v>1233376548.3800001</v>
      </c>
      <c r="G40" s="14">
        <f t="shared" si="38"/>
        <v>486461091.13999999</v>
      </c>
      <c r="H40" s="14">
        <f t="shared" si="38"/>
        <v>1435422400</v>
      </c>
      <c r="I40" s="14">
        <f t="shared" si="38"/>
        <v>47113700</v>
      </c>
      <c r="J40" s="14">
        <f t="shared" si="38"/>
        <v>1030294100</v>
      </c>
      <c r="K40" s="14">
        <f t="shared" si="38"/>
        <v>358014600</v>
      </c>
      <c r="L40" s="14">
        <f t="shared" si="38"/>
        <v>1528537700</v>
      </c>
      <c r="M40" s="14">
        <f t="shared" si="38"/>
        <v>73108300</v>
      </c>
      <c r="N40" s="14">
        <f t="shared" si="38"/>
        <v>1091975900</v>
      </c>
      <c r="O40" s="14">
        <f t="shared" si="38"/>
        <v>363453500</v>
      </c>
      <c r="P40" s="14">
        <f>P6+P8+P11+P15+P19+P22+P28+P30+P34+P37</f>
        <v>1704401117.6600001</v>
      </c>
      <c r="Q40" s="14">
        <f t="shared" ref="Q40:S40" si="39">Q6+Q8+Q11+Q15+Q19+Q22+Q28+Q30+Q34+Q37</f>
        <v>46650459.149999999</v>
      </c>
      <c r="R40" s="14">
        <f t="shared" si="39"/>
        <v>1229330690.51</v>
      </c>
      <c r="S40" s="14">
        <f t="shared" si="39"/>
        <v>428419968.00000012</v>
      </c>
      <c r="T40" s="15">
        <f>D40-P40</f>
        <v>62267582.339999914</v>
      </c>
      <c r="U40" s="15">
        <f t="shared" si="2"/>
        <v>96.475423924134731</v>
      </c>
    </row>
    <row r="41" spans="1:21">
      <c r="D41" s="16">
        <v>1766668700</v>
      </c>
      <c r="H41" s="16">
        <v>1435422400</v>
      </c>
      <c r="L41" s="16">
        <v>1528537700</v>
      </c>
      <c r="P41" s="16">
        <v>1704401117.6600001</v>
      </c>
    </row>
    <row r="42" spans="1:21">
      <c r="D42" s="17">
        <f>D40-D41</f>
        <v>0</v>
      </c>
      <c r="H42" s="17">
        <f>H40-H41</f>
        <v>0</v>
      </c>
      <c r="L42" s="17">
        <f>L40-L41</f>
        <v>0</v>
      </c>
      <c r="P42" s="17">
        <f>P40-P41</f>
        <v>0</v>
      </c>
    </row>
  </sheetData>
  <mergeCells count="18">
    <mergeCell ref="A2:U2"/>
    <mergeCell ref="A40:C40"/>
    <mergeCell ref="A8:C8"/>
    <mergeCell ref="A15:C15"/>
    <mergeCell ref="A19:C19"/>
    <mergeCell ref="D4:G4"/>
    <mergeCell ref="A22:C22"/>
    <mergeCell ref="A28:C28"/>
    <mergeCell ref="A30:C30"/>
    <mergeCell ref="A34:C34"/>
    <mergeCell ref="A37:C37"/>
    <mergeCell ref="A11:C11"/>
    <mergeCell ref="A4:C5"/>
    <mergeCell ref="A6:C6"/>
    <mergeCell ref="T4:U4"/>
    <mergeCell ref="H4:K4"/>
    <mergeCell ref="L4:O4"/>
    <mergeCell ref="P4:S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lt;ShortPrimaryServiceReportArguments xmlns:xsi=&quot;http://www.w3.org/2001/XMLSchema-instance&quot; xmlns:xsd=&quot;http://www.w3.org/2001/XMLSchema&quot;&gt;&lt;Code&gt;DOCUMENTS_ACCSTATE&lt;/Code&gt;&lt;DocLink&gt;-27&lt;/DocLink&gt;&lt;DocName&gt;Состояние счета ПБС&lt;/DocName&gt;&lt;VariantLink xsi:nil=&quot;true&quot; /&gt;&lt;SvodReportLink xsi:nil=&quot;true&quot; /&gt;&lt;ReportLink xsi:nil=&quot;true&quot; /&gt;&lt;SilentMode&gt;false&lt;/SilentMode&gt;&lt;/ShortPrimaryServiceReportArguments&gt;"/>
  </Parameters>
</MailMerge>
</file>

<file path=customXml/itemProps1.xml><?xml version="1.0" encoding="utf-8"?>
<ds:datastoreItem xmlns:ds="http://schemas.openxmlformats.org/officeDocument/2006/customXml" ds:itemID="{4E8207CA-F140-4CDC-8454-7E4C7795B0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за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</cp:lastModifiedBy>
  <cp:lastPrinted>2026-01-16T05:13:08Z</cp:lastPrinted>
  <dcterms:created xsi:type="dcterms:W3CDTF">2024-08-15T05:33:57Z</dcterms:created>
  <dcterms:modified xsi:type="dcterms:W3CDTF">2026-02-19T23:30:55Z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Состояние счета ПБС</vt:lpwstr>
  </property>
  <property fmtid="{D5CDD505-2E9C-101B-9397-08002B2CF9AE}" pid="3" name="Название отчета">
    <vt:lpwstr>Состояние счета ПБС(4).xlsx</vt:lpwstr>
  </property>
  <property fmtid="{D5CDD505-2E9C-101B-9397-08002B2CF9AE}" pid="4" name="Версия клиента">
    <vt:lpwstr>23.2.112.7081 (.NET Core 6)</vt:lpwstr>
  </property>
  <property fmtid="{D5CDD505-2E9C-101B-9397-08002B2CF9AE}" pid="5" name="Версия базы">
    <vt:lpwstr>23.2.7622.61245643</vt:lpwstr>
  </property>
  <property fmtid="{D5CDD505-2E9C-101B-9397-08002B2CF9AE}" pid="6" name="Тип сервера">
    <vt:lpwstr>PostgreSQL</vt:lpwstr>
  </property>
  <property fmtid="{D5CDD505-2E9C-101B-9397-08002B2CF9AE}" pid="7" name="Сервер">
    <vt:lpwstr>PS-P-IBMO-BD1:5432</vt:lpwstr>
  </property>
  <property fmtid="{D5CDD505-2E9C-101B-9397-08002B2CF9AE}" pid="8" name="База">
    <vt:lpwstr>global_2024</vt:lpwstr>
  </property>
  <property fmtid="{D5CDD505-2E9C-101B-9397-08002B2CF9AE}" pid="9" name="Пользователь">
    <vt:lpwstr>fo_6508004207_povetkinayun</vt:lpwstr>
  </property>
  <property fmtid="{D5CDD505-2E9C-101B-9397-08002B2CF9AE}" pid="10" name="Шаблон">
    <vt:lpwstr>spisok.xlt</vt:lpwstr>
  </property>
  <property fmtid="{D5CDD505-2E9C-101B-9397-08002B2CF9AE}" pid="11" name="Локальная база">
    <vt:lpwstr>не используется</vt:lpwstr>
  </property>
</Properties>
</file>